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17280" windowHeight="11010" tabRatio="904" activeTab="0"/>
  </bookViews>
  <sheets>
    <sheet name="通常の場合" sheetId="1" r:id="rId1"/>
    <sheet name="複数の局,周波数がある場合" sheetId="2" r:id="rId2"/>
    <sheet name="漏洩同軸ケーブルの場合" sheetId="3" r:id="rId3"/>
    <sheet name="多数の局､周波数がある場合" sheetId="4" r:id="rId4"/>
    <sheet name="Open" sheetId="5" r:id="rId5"/>
    <sheet name="基本" sheetId="6" r:id="rId6"/>
    <sheet name="単独" sheetId="7" r:id="rId7"/>
    <sheet name="複数" sheetId="8" r:id="rId8"/>
    <sheet name="注意1" sheetId="9" r:id="rId9"/>
    <sheet name="注意2" sheetId="10" r:id="rId10"/>
    <sheet name="注意3" sheetId="11" r:id="rId11"/>
    <sheet name="Ver" sheetId="12" r:id="rId12"/>
    <sheet name="DATA0" sheetId="13" r:id="rId13"/>
    <sheet name="P1" sheetId="14" r:id="rId14"/>
    <sheet name="P2" sheetId="15" r:id="rId15"/>
    <sheet name="P3" sheetId="16" r:id="rId16"/>
    <sheet name="Sheet1" sheetId="17" r:id="rId17"/>
  </sheets>
  <definedNames>
    <definedName name="_xlnm.Print_Titles" localSheetId="15">'P3'!$1:$1</definedName>
  </definedNames>
  <calcPr fullCalcOnLoad="1"/>
</workbook>
</file>

<file path=xl/sharedStrings.xml><?xml version="1.0" encoding="utf-8"?>
<sst xmlns="http://schemas.openxmlformats.org/spreadsheetml/2006/main" count="496" uniqueCount="249">
  <si>
    <t>１　基本算出式による場合</t>
  </si>
  <si>
    <t>項目</t>
  </si>
  <si>
    <t>諸元等</t>
  </si>
  <si>
    <t>単位</t>
  </si>
  <si>
    <t>周波数</t>
  </si>
  <si>
    <t>ＭＨｚ</t>
  </si>
  <si>
    <t>送信機出力</t>
  </si>
  <si>
    <t>Ｗ</t>
  </si>
  <si>
    <t>給電線等損失</t>
  </si>
  <si>
    <t>ｄＢ</t>
  </si>
  <si>
    <t>空中線入力電力</t>
  </si>
  <si>
    <t>空中線利得</t>
  </si>
  <si>
    <t>空中線電力電力比率</t>
  </si>
  <si>
    <t>倍</t>
  </si>
  <si>
    <t>算出地点までの距離</t>
  </si>
  <si>
    <t>ｍ</t>
  </si>
  <si>
    <t>反射係数</t>
  </si>
  <si>
    <t>電界強度基準値(～30MHz)</t>
  </si>
  <si>
    <t>Ｖ／ｍ</t>
  </si>
  <si>
    <t>電力束密度基準値(30MHz～300GHz)</t>
  </si>
  <si>
    <t>mW/c㎡</t>
  </si>
  <si>
    <t>電界強度算出値(3MHz～30MHz,反射考慮)</t>
  </si>
  <si>
    <t>電力束密度算出値(30MHz以上,反射考慮)</t>
  </si>
  <si>
    <t>電界強度算出値(30MHz未満,反射無視)</t>
  </si>
  <si>
    <t>電力束密度算出値(30MHz以上,反射無視)</t>
  </si>
  <si>
    <t>基準値=算出値となる距離(反射考慮)</t>
  </si>
  <si>
    <t>基準値=算出値となる距離(反射無視)</t>
  </si>
  <si>
    <t>判定（反射考慮）</t>
  </si>
  <si>
    <t>判定（反射無視）</t>
  </si>
  <si>
    <t>※空中線の回転は考慮していません。</t>
  </si>
  <si>
    <t>　水色のセルが入力必須項目となります。</t>
  </si>
  <si>
    <t>２　基本算出式による場合（複数の無線局,周波数がある場合）</t>
  </si>
  <si>
    <t>諸元等１</t>
  </si>
  <si>
    <t>諸元等２</t>
  </si>
  <si>
    <t>諸元等３</t>
  </si>
  <si>
    <t>諸元等４</t>
  </si>
  <si>
    <t>諸元等５</t>
  </si>
  <si>
    <t>諸元等６</t>
  </si>
  <si>
    <t>諸元等７</t>
  </si>
  <si>
    <t>判定</t>
  </si>
  <si>
    <t>電界強度基準値(3MHz～30MHz)</t>
  </si>
  <si>
    <t>電力束密度基準値換算値</t>
  </si>
  <si>
    <t>電力束密度算出値換算値(反射考慮)</t>
  </si>
  <si>
    <t>電力束密度算出値換算値(反射無視)</t>
  </si>
  <si>
    <t>　赤色のセルがその場所全体での判定結果となります。</t>
  </si>
  <si>
    <t>　７以上の無線局または周波数がある場合はシート４を参照して下さい。</t>
  </si>
  <si>
    <t>３　漏洩同軸ケーブルの場合</t>
  </si>
  <si>
    <t>結合損失</t>
  </si>
  <si>
    <t>等価利得(電力比率)</t>
  </si>
  <si>
    <t>※水色のセルが入力必須項目となります。</t>
  </si>
  <si>
    <t>４　多数の無線局または周波数がある場合</t>
  </si>
  <si>
    <t>電力束密度基準値</t>
  </si>
  <si>
    <t>電力束密度算出値</t>
  </si>
  <si>
    <t>算出値／基準値</t>
  </si>
  <si>
    <t>※３０ＭＨｚ未満の場合は下の表で電界強度を</t>
  </si>
  <si>
    <t>　電力束密度に変換して下さい。</t>
  </si>
  <si>
    <t>電界強度(V/m)</t>
  </si>
  <si>
    <t>電力束密度(mW/c㎡)</t>
  </si>
  <si>
    <t>諸元等８</t>
  </si>
  <si>
    <t>諸元等９</t>
  </si>
  <si>
    <t>諸元等１０</t>
  </si>
  <si>
    <t>諸元等１１</t>
  </si>
  <si>
    <t>諸元等１２</t>
  </si>
  <si>
    <t>諸元等１３</t>
  </si>
  <si>
    <t>諸元等１４</t>
  </si>
  <si>
    <t>諸元等１５</t>
  </si>
  <si>
    <t>諸元等１６</t>
  </si>
  <si>
    <t>諸元等１７</t>
  </si>
  <si>
    <t>諸元等１８</t>
  </si>
  <si>
    <t>諸元等１９</t>
  </si>
  <si>
    <t>諸元等２０</t>
  </si>
  <si>
    <t>諸元等２１</t>
  </si>
  <si>
    <t>諸元等２２</t>
  </si>
  <si>
    <t>諸元等２３</t>
  </si>
  <si>
    <t>諸元等２４</t>
  </si>
  <si>
    <t>諸元等２５</t>
  </si>
  <si>
    <t>諸元等２６</t>
  </si>
  <si>
    <t>諸元等２７</t>
  </si>
  <si>
    <t>諸元等２８</t>
  </si>
  <si>
    <t>諸元等２９</t>
  </si>
  <si>
    <t>諸元等３０</t>
  </si>
  <si>
    <t>諸元等３１</t>
  </si>
  <si>
    <t>諸元等３２</t>
  </si>
  <si>
    <t>諸元等３３</t>
  </si>
  <si>
    <t>諸元等３４</t>
  </si>
  <si>
    <t>諸元等３５</t>
  </si>
  <si>
    <t>諸元等３６</t>
  </si>
  <si>
    <t>諸元等３７</t>
  </si>
  <si>
    <t>諸元等３８</t>
  </si>
  <si>
    <t>諸元等３９</t>
  </si>
  <si>
    <t>諸元等４０</t>
  </si>
  <si>
    <t>諸元等４１</t>
  </si>
  <si>
    <t>諸元等４２</t>
  </si>
  <si>
    <t>諸元等４３</t>
  </si>
  <si>
    <t>諸元等４４</t>
  </si>
  <si>
    <t>諸元等４５</t>
  </si>
  <si>
    <t>諸元等４６</t>
  </si>
  <si>
    <t>諸元等４７</t>
  </si>
  <si>
    <t>諸元等４８</t>
  </si>
  <si>
    <t>諸元等４９</t>
  </si>
  <si>
    <t>諸元等５０</t>
  </si>
  <si>
    <t>MENU:</t>
  </si>
  <si>
    <t>ｆ：</t>
  </si>
  <si>
    <t>Point</t>
  </si>
  <si>
    <t>塔反射</t>
  </si>
  <si>
    <t>地反射</t>
  </si>
  <si>
    <t>係数単位</t>
  </si>
  <si>
    <t>Ｈ</t>
  </si>
  <si>
    <t>Ｒ</t>
  </si>
  <si>
    <t>基本</t>
  </si>
  <si>
    <t>指向</t>
  </si>
  <si>
    <t>周波数単位</t>
  </si>
  <si>
    <t>Ｐｏｗ：</t>
  </si>
  <si>
    <t>ＫＨｚ</t>
  </si>
  <si>
    <t>電力</t>
  </si>
  <si>
    <t>電力単位</t>
  </si>
  <si>
    <t>利得</t>
  </si>
  <si>
    <t>損失</t>
  </si>
  <si>
    <t>ｍＷ</t>
  </si>
  <si>
    <t>高さ</t>
  </si>
  <si>
    <t>距離の区別</t>
  </si>
  <si>
    <t>距離</t>
  </si>
  <si>
    <t>直下からの距離</t>
  </si>
  <si>
    <t>直距離</t>
  </si>
  <si>
    <t>直線距離</t>
  </si>
  <si>
    <t>反射の恐れ</t>
  </si>
  <si>
    <t>空中線</t>
  </si>
  <si>
    <t>係数</t>
  </si>
  <si>
    <t>コリニアアレイ</t>
  </si>
  <si>
    <t>寸法</t>
  </si>
  <si>
    <t>開口面空中線</t>
  </si>
  <si>
    <t>開面積</t>
  </si>
  <si>
    <t>算出方式</t>
  </si>
  <si>
    <t>Ｐ：</t>
  </si>
  <si>
    <t>Ｒ：</t>
  </si>
  <si>
    <t>データ数</t>
  </si>
  <si>
    <t>Ｇ：</t>
  </si>
  <si>
    <t>ID</t>
  </si>
  <si>
    <t>η：</t>
  </si>
  <si>
    <t>Ｋ：</t>
  </si>
  <si>
    <t>λ：</t>
  </si>
  <si>
    <t>基準値</t>
  </si>
  <si>
    <t>基本結果</t>
  </si>
  <si>
    <t>その他の空中線</t>
  </si>
  <si>
    <t>充足距離</t>
  </si>
  <si>
    <t>m</t>
  </si>
  <si>
    <t>判定：</t>
  </si>
  <si>
    <t>ｺﾘﾆｱ</t>
  </si>
  <si>
    <t>条件距離</t>
  </si>
  <si>
    <t>m 以下</t>
  </si>
  <si>
    <t>開口</t>
  </si>
  <si>
    <t>基本算出式による算出結果</t>
  </si>
  <si>
    <t>－－－－－－－－－－－－－－－－　入力パラメータ　－－－－－－－－－－－－－－－－</t>
  </si>
  <si>
    <t>周波数：</t>
  </si>
  <si>
    <t>空中線電力：</t>
  </si>
  <si>
    <t>空中線利得：</t>
  </si>
  <si>
    <t>空中線高：</t>
  </si>
  <si>
    <t>給電線損失：</t>
  </si>
  <si>
    <t>空中線との距離：</t>
  </si>
  <si>
    <t>算出点にビル、鉄塔等反射を生じさせる恐れのあるものは</t>
  </si>
  <si>
    <t>－－－－－－－－－－－－－－－－－－－－－－－－－－－－－－－－－－－－－－－－－</t>
  </si>
  <si>
    <t>＊＊＊＊＊＊＊＊＊＊＊＊＊＊＊＊＊　算出　結果　＊＊＊＊＊＊＊＊＊＊＊＊＊＊＊＊＊</t>
  </si>
  <si>
    <t>●空中線入力電力は(P)</t>
  </si>
  <si>
    <t>･･････</t>
  </si>
  <si>
    <t>[Ｗ]</t>
  </si>
  <si>
    <t>●空中線電力の電力比率(G)…・</t>
  </si>
  <si>
    <t>●空中線との直線距離は(R) ･････</t>
  </si>
  <si>
    <t>●反射係数は(K)</t>
  </si>
  <si>
    <t>◎基準値は、</t>
  </si>
  <si>
    <t>が</t>
  </si>
  <si>
    <t>以下であること</t>
  </si>
  <si>
    <t>◎反射係数を考慮しない場合、</t>
  </si>
  <si>
    <t>となり、基準値に適合</t>
  </si>
  <si>
    <t>なお、基準値を満足する地点は</t>
  </si>
  <si>
    <t>ｍ地点となる。</t>
  </si>
  <si>
    <t>◎反射係数を考慮する場合は、</t>
  </si>
  <si>
    <t>＊＊＊＊＊＊＊＊＊＊＊＊＊＊＊＊＊＊＊＊＊＊＊＊＊＊＊＊＊＊＊＊＊＊＊＊＊＊＊＊＊</t>
  </si>
  <si>
    <t>★無線局の諸元</t>
  </si>
  <si>
    <t>空中線種類：</t>
  </si>
  <si>
    <t>最大空中線長：</t>
  </si>
  <si>
    <t>開口面面積：</t>
  </si>
  <si>
    <t>㎡</t>
  </si>
  <si>
    <t>給電線損失等：</t>
  </si>
  <si>
    <t>空中線入力電力(P)</t>
  </si>
  <si>
    <t>Ｗ　　空中線電力の電力比率(G)</t>
  </si>
  <si>
    <t>◆主輻射方向の立ち入り可能地点における算出結果</t>
  </si>
  <si>
    <t>○算出地点は空中線位置から</t>
  </si>
  <si>
    <t>ｍ離れている。</t>
  </si>
  <si>
    <t>（直線距離(R)は</t>
  </si>
  <si>
    <t>ｍ）</t>
  </si>
  <si>
    <t>○基準値：</t>
  </si>
  <si>
    <t>基本算出式による算出結果は</t>
  </si>
  <si>
    <t>であり、基準値を充足</t>
  </si>
  <si>
    <t>◆主輻射方向から右に４５゜の立ち入り可能地点における算出結果</t>
  </si>
  <si>
    <t>◆主輻射方向から右に９０゜の立ち入り可能地点における算出結果</t>
  </si>
  <si>
    <t>◆主輻射方向から右に１３５゜の立ち入り可能地点における算出結果</t>
  </si>
  <si>
    <t>◆主輻射方向から右に１８０゜の立ち入り可能地点における算出結果</t>
  </si>
  <si>
    <t>◆主輻射方向から右に２２５゜の立ち入り可能地点における算出結果</t>
  </si>
  <si>
    <t>◆主輻射方向から右に２７０゜の立ち入り可能地点における算出結果</t>
  </si>
  <si>
    <t>◆主輻射方向から右に３１５゜の立ち入り可能地点における算出結果</t>
  </si>
  <si>
    <t>Ｎａｍｅ</t>
  </si>
  <si>
    <t>周波数[MHz]</t>
  </si>
  <si>
    <t>電力　　[Ｗ]</t>
  </si>
  <si>
    <t>利得　[dB]</t>
  </si>
  <si>
    <t>損失　[dB]</t>
  </si>
  <si>
    <t>直線距離[ｍ]</t>
  </si>
  <si>
    <t>算出方法</t>
  </si>
  <si>
    <t>算出結果</t>
  </si>
  <si>
    <t>面反射</t>
  </si>
  <si>
    <t>大地面</t>
  </si>
  <si>
    <t>係数１</t>
  </si>
  <si>
    <t>係数２</t>
  </si>
  <si>
    <t>個別判定</t>
  </si>
  <si>
    <t>記 録 可</t>
  </si>
  <si>
    <t>▼</t>
  </si>
  <si>
    <t>記録不可</t>
  </si>
  <si>
    <t>MS-Excel5.0 ﾏｸﾛを利用した</t>
  </si>
  <si>
    <t>　電波防護のための</t>
  </si>
  <si>
    <t>　　基準への適合確認</t>
  </si>
  <si>
    <t>　　　　　　プログラム</t>
  </si>
  <si>
    <t>Ｖ／ｍ</t>
  </si>
  <si>
    <t>Ｖ／ｍ</t>
  </si>
  <si>
    <t>していない。</t>
  </si>
  <si>
    <t>不均一にばく露される場合の基準値を充足していない。</t>
  </si>
  <si>
    <t>している。</t>
  </si>
  <si>
    <t>計算は別添図「電波防護指針に係る計算距離根拠」および</t>
  </si>
  <si>
    <t>　「電波防護指針に係る近隣住宅配置状況と計算位置」にて計算しました。</t>
  </si>
  <si>
    <t>計算条件</t>
  </si>
  <si>
    <t>１．周囲住宅は２階屋で、２階のフロアレベルはＧＬ（私道）から、約</t>
  </si>
  <si>
    <t>　　高さで計算。</t>
  </si>
  <si>
    <t>空中線利得</t>
  </si>
  <si>
    <t>12.22-12.0=0.22dBi</t>
  </si>
  <si>
    <t>空中線電力</t>
  </si>
  <si>
    <t>1000×0.5=500W　(A1Aにおける平均電力)</t>
  </si>
  <si>
    <t>空中線高</t>
  </si>
  <si>
    <t>八木型空中線</t>
  </si>
  <si>
    <t>16.3m　(GL)</t>
  </si>
  <si>
    <t>周波数</t>
  </si>
  <si>
    <t>28.5MHz</t>
  </si>
  <si>
    <t>短縮ダイポール型空中線</t>
  </si>
  <si>
    <t>17.8m　(GL)</t>
  </si>
  <si>
    <t>7.05MHz/21.225MHz/28.5MHz</t>
  </si>
  <si>
    <t>する。　　　</t>
  </si>
  <si>
    <t>（直下からの距離）</t>
  </si>
  <si>
    <t>2.15dBi</t>
  </si>
  <si>
    <t>３．南方向(私道)はGLで計算。</t>
  </si>
  <si>
    <t>　　2.7mの高さにあるため、東、北はGL+2.7mの高さで計算。</t>
  </si>
  <si>
    <t>２．西方向(自宅)は盛り土により周囲住宅より約0.8m高いため、GL+3.5mの</t>
  </si>
  <si>
    <t>４．空中線俯角減衰量は、垂直指向性図の俯角方向の最大値（-12dB)とした。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</si>
</sst>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00000"/>
    <numFmt numFmtId="179" formatCode="0.00000000"/>
    <numFmt numFmtId="180" formatCode="0.0000000000"/>
    <numFmt numFmtId="181" formatCode="0.0000000"/>
    <numFmt numFmtId="182" formatCode="0.000000000"/>
    <numFmt numFmtId="183" formatCode="0.000"/>
  </numFmts>
  <fonts count="48">
    <font>
      <sz val="11"/>
      <name val="明朝"/>
      <family val="1"/>
    </font>
    <font>
      <b/>
      <sz val="11"/>
      <name val="明朝"/>
      <family val="1"/>
    </font>
    <font>
      <i/>
      <sz val="11"/>
      <name val="明朝"/>
      <family val="1"/>
    </font>
    <font>
      <b/>
      <i/>
      <sz val="11"/>
      <name val="明朝"/>
      <family val="1"/>
    </font>
    <font>
      <sz val="11"/>
      <name val="ＭＳ ゴシック"/>
      <family val="3"/>
    </font>
    <font>
      <b/>
      <u val="single"/>
      <sz val="14"/>
      <name val="ＭＳ ゴシック"/>
      <family val="3"/>
    </font>
    <font>
      <sz val="11"/>
      <name val="ＭＳ 明朝"/>
      <family val="1"/>
    </font>
    <font>
      <sz val="11"/>
      <color indexed="9"/>
      <name val="ＭＳ 明朝"/>
      <family val="1"/>
    </font>
    <font>
      <sz val="8"/>
      <name val="明朝"/>
      <family val="1"/>
    </font>
    <font>
      <sz val="11"/>
      <color indexed="43"/>
      <name val="明朝"/>
      <family val="1"/>
    </font>
    <font>
      <sz val="10"/>
      <name val="明朝"/>
      <family val="1"/>
    </font>
    <font>
      <b/>
      <sz val="10"/>
      <color indexed="39"/>
      <name val="明朝"/>
      <family val="1"/>
    </font>
    <font>
      <b/>
      <sz val="11"/>
      <name val="ＭＳ 明朝"/>
      <family val="1"/>
    </font>
    <font>
      <sz val="9"/>
      <name val="MS UI Gothic"/>
      <family val="3"/>
    </font>
    <font>
      <sz val="6"/>
      <name val="明朝"/>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3"/>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0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wrapText="1"/>
    </xf>
    <xf numFmtId="0" fontId="4" fillId="33" borderId="10" xfId="0" applyFont="1" applyFill="1" applyBorder="1" applyAlignment="1">
      <alignment horizontal="center"/>
    </xf>
    <xf numFmtId="0" fontId="4" fillId="0" borderId="0" xfId="0" applyFont="1" applyAlignment="1">
      <alignment horizontal="right"/>
    </xf>
    <xf numFmtId="0" fontId="4" fillId="0" borderId="10" xfId="0" applyFont="1" applyBorder="1" applyAlignment="1">
      <alignment horizontal="right"/>
    </xf>
    <xf numFmtId="0" fontId="0" fillId="0" borderId="10" xfId="0" applyBorder="1" applyAlignment="1">
      <alignment horizontal="right"/>
    </xf>
    <xf numFmtId="0" fontId="4" fillId="0" borderId="10" xfId="0" applyFont="1" applyBorder="1" applyAlignment="1">
      <alignment horizontal="center"/>
    </xf>
    <xf numFmtId="176" fontId="4" fillId="34" borderId="10" xfId="0" applyNumberFormat="1" applyFont="1" applyFill="1" applyBorder="1" applyAlignment="1" applyProtection="1">
      <alignment/>
      <protection locked="0"/>
    </xf>
    <xf numFmtId="176" fontId="4" fillId="0" borderId="10" xfId="0" applyNumberFormat="1" applyFont="1" applyBorder="1" applyAlignment="1" applyProtection="1">
      <alignment/>
      <protection/>
    </xf>
    <xf numFmtId="176" fontId="4" fillId="0" borderId="10" xfId="0" applyNumberFormat="1" applyFont="1" applyFill="1" applyBorder="1" applyAlignment="1">
      <alignment/>
    </xf>
    <xf numFmtId="2" fontId="4" fillId="34" borderId="10" xfId="0" applyNumberFormat="1" applyFont="1" applyFill="1" applyBorder="1" applyAlignment="1" applyProtection="1">
      <alignment/>
      <protection locked="0"/>
    </xf>
    <xf numFmtId="177" fontId="4" fillId="34" borderId="10" xfId="0" applyNumberFormat="1" applyFont="1" applyFill="1" applyBorder="1" applyAlignment="1" applyProtection="1">
      <alignment/>
      <protection locked="0"/>
    </xf>
    <xf numFmtId="2" fontId="4" fillId="0" borderId="10" xfId="0" applyNumberFormat="1"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Border="1" applyAlignment="1" applyProtection="1">
      <alignment/>
      <protection locked="0"/>
    </xf>
    <xf numFmtId="2" fontId="4" fillId="0" borderId="0" xfId="0" applyNumberFormat="1" applyFont="1" applyFill="1" applyBorder="1" applyAlignment="1" applyProtection="1">
      <alignment/>
      <protection locked="0"/>
    </xf>
    <xf numFmtId="177" fontId="4" fillId="0" borderId="0"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xf>
    <xf numFmtId="176" fontId="4" fillId="0" borderId="11" xfId="0" applyNumberFormat="1" applyFont="1" applyFill="1" applyBorder="1" applyAlignment="1">
      <alignment/>
    </xf>
    <xf numFmtId="0" fontId="4" fillId="0" borderId="12" xfId="0" applyFont="1" applyBorder="1" applyAlignment="1">
      <alignment horizontal="right"/>
    </xf>
    <xf numFmtId="0" fontId="4" fillId="0" borderId="13" xfId="0" applyFont="1" applyBorder="1" applyAlignment="1">
      <alignment horizontal="right"/>
    </xf>
    <xf numFmtId="176" fontId="4" fillId="0" borderId="14" xfId="0" applyNumberFormat="1" applyFont="1" applyFill="1" applyBorder="1" applyAlignment="1">
      <alignment/>
    </xf>
    <xf numFmtId="0" fontId="4" fillId="0" borderId="15" xfId="0" applyFont="1" applyBorder="1" applyAlignment="1">
      <alignment horizontal="right"/>
    </xf>
    <xf numFmtId="0" fontId="4" fillId="0" borderId="11" xfId="0" applyFont="1" applyFill="1" applyBorder="1" applyAlignment="1">
      <alignment horizontal="center"/>
    </xf>
    <xf numFmtId="0" fontId="4" fillId="0" borderId="14" xfId="0" applyFont="1" applyFill="1" applyBorder="1" applyAlignment="1">
      <alignment horizontal="center"/>
    </xf>
    <xf numFmtId="2" fontId="4" fillId="0" borderId="14" xfId="0" applyNumberFormat="1" applyFont="1" applyFill="1" applyBorder="1" applyAlignment="1">
      <alignment/>
    </xf>
    <xf numFmtId="0" fontId="0" fillId="0" borderId="15" xfId="0"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176" fontId="4" fillId="0" borderId="19" xfId="0" applyNumberFormat="1" applyFont="1" applyFill="1" applyBorder="1" applyAlignment="1" applyProtection="1">
      <alignment/>
      <protection locked="0"/>
    </xf>
    <xf numFmtId="2" fontId="4" fillId="0" borderId="19" xfId="0" applyNumberFormat="1" applyFont="1" applyFill="1" applyBorder="1" applyAlignment="1" applyProtection="1">
      <alignment/>
      <protection locked="0"/>
    </xf>
    <xf numFmtId="177" fontId="4" fillId="0" borderId="19" xfId="0" applyNumberFormat="1" applyFont="1" applyFill="1" applyBorder="1" applyAlignment="1" applyProtection="1">
      <alignment/>
      <protection locked="0"/>
    </xf>
    <xf numFmtId="176" fontId="4" fillId="0" borderId="19" xfId="0" applyNumberFormat="1" applyFont="1" applyFill="1" applyBorder="1" applyAlignment="1" applyProtection="1">
      <alignment/>
      <protection/>
    </xf>
    <xf numFmtId="176" fontId="4" fillId="0" borderId="19" xfId="0" applyNumberFormat="1" applyFont="1" applyFill="1" applyBorder="1" applyAlignment="1">
      <alignment/>
    </xf>
    <xf numFmtId="2" fontId="4" fillId="0" borderId="20" xfId="0" applyNumberFormat="1" applyFont="1" applyFill="1" applyBorder="1" applyAlignment="1">
      <alignment/>
    </xf>
    <xf numFmtId="176" fontId="4" fillId="0" borderId="21" xfId="0" applyNumberFormat="1" applyFont="1" applyFill="1" applyBorder="1" applyAlignment="1">
      <alignment/>
    </xf>
    <xf numFmtId="176" fontId="4" fillId="0" borderId="20" xfId="0" applyNumberFormat="1" applyFont="1" applyFill="1" applyBorder="1" applyAlignment="1">
      <alignment/>
    </xf>
    <xf numFmtId="0" fontId="4" fillId="33" borderId="21" xfId="0" applyFont="1" applyFill="1" applyBorder="1" applyAlignment="1">
      <alignment horizontal="center"/>
    </xf>
    <xf numFmtId="0" fontId="4" fillId="33" borderId="20" xfId="0" applyFont="1" applyFill="1" applyBorder="1" applyAlignment="1">
      <alignment horizontal="center"/>
    </xf>
    <xf numFmtId="180" fontId="4" fillId="0" borderId="10" xfId="0" applyNumberFormat="1" applyFont="1" applyFill="1" applyBorder="1" applyAlignment="1">
      <alignment/>
    </xf>
    <xf numFmtId="182" fontId="4" fillId="0" borderId="10" xfId="0" applyNumberFormat="1" applyFont="1" applyFill="1" applyBorder="1" applyAlignment="1">
      <alignment/>
    </xf>
    <xf numFmtId="0" fontId="4" fillId="0" borderId="0" xfId="0" applyFont="1" applyAlignment="1">
      <alignment horizontal="center"/>
    </xf>
    <xf numFmtId="0" fontId="4" fillId="33" borderId="10" xfId="0" applyFont="1" applyFill="1" applyBorder="1" applyAlignment="1">
      <alignment/>
    </xf>
    <xf numFmtId="0" fontId="4" fillId="34" borderId="10" xfId="0" applyFont="1" applyFill="1" applyBorder="1" applyAlignment="1" applyProtection="1">
      <alignment/>
      <protection locked="0"/>
    </xf>
    <xf numFmtId="0" fontId="5" fillId="0" borderId="0" xfId="0" applyFont="1" applyAlignment="1">
      <alignment/>
    </xf>
    <xf numFmtId="0" fontId="0" fillId="0" borderId="0" xfId="0" applyAlignment="1">
      <alignment horizontal="right"/>
    </xf>
    <xf numFmtId="0" fontId="0" fillId="0" borderId="0" xfId="0" applyAlignment="1">
      <alignment horizontal="center" vertical="center"/>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4" fillId="0" borderId="0" xfId="0" applyFont="1" applyAlignment="1" quotePrefix="1">
      <alignment/>
    </xf>
    <xf numFmtId="2" fontId="4" fillId="0" borderId="10" xfId="0" applyNumberFormat="1" applyFont="1" applyBorder="1" applyAlignment="1">
      <alignment/>
    </xf>
    <xf numFmtId="0" fontId="4" fillId="0" borderId="22" xfId="0" applyFont="1" applyBorder="1" applyAlignment="1">
      <alignment/>
    </xf>
    <xf numFmtId="0" fontId="4" fillId="0" borderId="22" xfId="0" applyFont="1" applyBorder="1" applyAlignment="1">
      <alignment horizontal="center"/>
    </xf>
    <xf numFmtId="0" fontId="6" fillId="0" borderId="0" xfId="0" applyFont="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0" xfId="0" applyFont="1" applyBorder="1" applyAlignment="1">
      <alignment/>
    </xf>
    <xf numFmtId="0" fontId="6" fillId="0" borderId="0" xfId="0" applyFont="1" applyBorder="1" applyAlignment="1">
      <alignment horizontal="distributed"/>
    </xf>
    <xf numFmtId="0" fontId="6" fillId="0" borderId="0" xfId="0" applyFont="1" applyBorder="1" applyAlignment="1">
      <alignment horizontal="right"/>
    </xf>
    <xf numFmtId="0" fontId="6" fillId="0" borderId="27" xfId="0" applyFont="1" applyBorder="1" applyAlignment="1">
      <alignment/>
    </xf>
    <xf numFmtId="0" fontId="6" fillId="0" borderId="28" xfId="0" applyFont="1" applyBorder="1" applyAlignment="1">
      <alignment/>
    </xf>
    <xf numFmtId="0" fontId="6" fillId="0" borderId="22" xfId="0" applyFont="1" applyBorder="1" applyAlignment="1">
      <alignment/>
    </xf>
    <xf numFmtId="0" fontId="6" fillId="0" borderId="29" xfId="0" applyFont="1" applyBorder="1" applyAlignment="1">
      <alignment/>
    </xf>
    <xf numFmtId="0" fontId="6" fillId="0" borderId="0" xfId="0" applyFont="1" applyAlignment="1">
      <alignment horizontal="right"/>
    </xf>
    <xf numFmtId="0" fontId="6" fillId="0" borderId="30" xfId="0" applyFont="1" applyBorder="1" applyAlignment="1">
      <alignment/>
    </xf>
    <xf numFmtId="0" fontId="6" fillId="0" borderId="10" xfId="0" applyFont="1" applyBorder="1" applyAlignment="1">
      <alignment/>
    </xf>
    <xf numFmtId="0" fontId="6" fillId="0" borderId="0" xfId="0" applyFont="1" applyAlignment="1">
      <alignment horizontal="left"/>
    </xf>
    <xf numFmtId="0" fontId="6" fillId="0" borderId="26" xfId="0" applyFont="1" applyBorder="1" applyAlignment="1">
      <alignment horizontal="right"/>
    </xf>
    <xf numFmtId="0" fontId="7" fillId="0" borderId="0" xfId="0" applyFont="1" applyAlignment="1">
      <alignment/>
    </xf>
    <xf numFmtId="0" fontId="0" fillId="0" borderId="0" xfId="0" applyAlignment="1" applyProtection="1">
      <alignment/>
      <protection locked="0"/>
    </xf>
    <xf numFmtId="0" fontId="0" fillId="0" borderId="0" xfId="0" applyNumberFormat="1" applyAlignment="1" applyProtection="1">
      <alignment/>
      <protection locked="0"/>
    </xf>
    <xf numFmtId="0" fontId="0" fillId="0" borderId="0" xfId="60">
      <alignment/>
      <protection/>
    </xf>
    <xf numFmtId="0" fontId="0" fillId="0" borderId="23" xfId="60" applyBorder="1">
      <alignment/>
      <protection/>
    </xf>
    <xf numFmtId="0" fontId="8" fillId="0" borderId="24" xfId="60" applyFont="1" applyBorder="1" applyAlignment="1">
      <alignment horizontal="right" vertical="center"/>
      <protection/>
    </xf>
    <xf numFmtId="0" fontId="8" fillId="0" borderId="25" xfId="60" applyFont="1" applyBorder="1" applyAlignment="1">
      <alignment vertical="center" textRotation="90"/>
      <protection/>
    </xf>
    <xf numFmtId="0" fontId="0" fillId="0" borderId="26" xfId="60" applyBorder="1">
      <alignment/>
      <protection/>
    </xf>
    <xf numFmtId="0" fontId="8" fillId="0" borderId="0" xfId="60" applyFont="1" applyBorder="1" applyAlignment="1">
      <alignment horizontal="right" vertical="center"/>
      <protection/>
    </xf>
    <xf numFmtId="0" fontId="8" fillId="0" borderId="27" xfId="60" applyFont="1" applyBorder="1" applyAlignment="1">
      <alignment vertical="center" textRotation="90"/>
      <protection/>
    </xf>
    <xf numFmtId="0" fontId="0" fillId="0" borderId="0" xfId="60" applyBorder="1">
      <alignment/>
      <protection/>
    </xf>
    <xf numFmtId="0" fontId="0" fillId="0" borderId="27" xfId="60" applyBorder="1">
      <alignment/>
      <protection/>
    </xf>
    <xf numFmtId="0" fontId="0" fillId="0" borderId="31" xfId="60" applyBorder="1">
      <alignment/>
      <protection/>
    </xf>
    <xf numFmtId="0" fontId="0" fillId="0" borderId="32" xfId="60" applyBorder="1">
      <alignment/>
      <protection/>
    </xf>
    <xf numFmtId="0" fontId="0" fillId="0" borderId="33" xfId="60" applyBorder="1">
      <alignment/>
      <protection/>
    </xf>
    <xf numFmtId="0" fontId="0" fillId="0" borderId="28" xfId="60" applyBorder="1">
      <alignment/>
      <protection/>
    </xf>
    <xf numFmtId="0" fontId="0" fillId="0" borderId="22" xfId="60" applyBorder="1">
      <alignment/>
      <protection/>
    </xf>
    <xf numFmtId="0" fontId="0" fillId="0" borderId="29" xfId="60" applyBorder="1">
      <alignment/>
      <protection/>
    </xf>
    <xf numFmtId="0" fontId="8" fillId="0" borderId="25" xfId="60" applyFont="1" applyBorder="1" applyAlignment="1">
      <alignment textRotation="90"/>
      <protection/>
    </xf>
    <xf numFmtId="0" fontId="8" fillId="0" borderId="27" xfId="60" applyFont="1" applyBorder="1" applyAlignment="1">
      <alignment textRotation="90"/>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22</xdr:row>
      <xdr:rowOff>0</xdr:rowOff>
    </xdr:from>
    <xdr:to>
      <xdr:col>89</xdr:col>
      <xdr:colOff>0</xdr:colOff>
      <xdr:row>26</xdr:row>
      <xdr:rowOff>0</xdr:rowOff>
    </xdr:to>
    <xdr:sp>
      <xdr:nvSpPr>
        <xdr:cNvPr id="1" name="テキスト 8"/>
        <xdr:cNvSpPr txBox="1">
          <a:spLocks noChangeArrowheads="1"/>
        </xdr:cNvSpPr>
      </xdr:nvSpPr>
      <xdr:spPr>
        <a:xfrm>
          <a:off x="3467100" y="1257300"/>
          <a:ext cx="2466975" cy="228600"/>
        </a:xfrm>
        <a:prstGeom prst="roundRect">
          <a:avLst/>
        </a:prstGeom>
        <a:solidFill>
          <a:srgbClr val="CC99FF"/>
        </a:solidFill>
        <a:ln w="17145" cmpd="sng">
          <a:solidFill>
            <a:srgbClr val="0000FF"/>
          </a:solidFill>
          <a:headEnd type="none"/>
          <a:tailEnd type="none"/>
        </a:ln>
      </xdr:spPr>
      <xdr:txBody>
        <a:bodyPr vertOverflow="clip" wrap="square" anchor="ctr"/>
        <a:p>
          <a:pPr algn="ctr">
            <a:defRPr/>
          </a:pPr>
          <a:r>
            <a:rPr lang="en-US" cap="none" sz="1100" b="1" i="0" u="none" baseline="0"/>
            <a:t>電波強度の算出プログラム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24</xdr:row>
      <xdr:rowOff>0</xdr:rowOff>
    </xdr:from>
    <xdr:to>
      <xdr:col>88</xdr:col>
      <xdr:colOff>0</xdr:colOff>
      <xdr:row>36</xdr:row>
      <xdr:rowOff>47625</xdr:rowOff>
    </xdr:to>
    <xdr:sp>
      <xdr:nvSpPr>
        <xdr:cNvPr id="1" name="図形 32"/>
        <xdr:cNvSpPr>
          <a:spLocks/>
        </xdr:cNvSpPr>
      </xdr:nvSpPr>
      <xdr:spPr>
        <a:xfrm>
          <a:off x="5600700" y="1371600"/>
          <a:ext cx="266700" cy="733425"/>
        </a:xfrm>
        <a:custGeom>
          <a:pathLst>
            <a:path h="16384" w="16384">
              <a:moveTo>
                <a:pt x="0" y="0"/>
              </a:moveTo>
              <a:lnTo>
                <a:pt x="0" y="16384"/>
              </a:lnTo>
              <a:lnTo>
                <a:pt x="16384" y="7660"/>
              </a:lnTo>
              <a:lnTo>
                <a:pt x="16384" y="7447"/>
              </a:lnTo>
              <a:lnTo>
                <a:pt x="0" y="0"/>
              </a:lnTo>
              <a:close/>
            </a:path>
          </a:pathLst>
        </a:custGeom>
        <a:solidFill>
          <a:srgbClr val="CC99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72</xdr:col>
      <xdr:colOff>0</xdr:colOff>
      <xdr:row>28</xdr:row>
      <xdr:rowOff>0</xdr:rowOff>
    </xdr:from>
    <xdr:to>
      <xdr:col>84</xdr:col>
      <xdr:colOff>0</xdr:colOff>
      <xdr:row>32</xdr:row>
      <xdr:rowOff>0</xdr:rowOff>
    </xdr:to>
    <xdr:sp>
      <xdr:nvSpPr>
        <xdr:cNvPr id="2" name="Rectangle 28"/>
        <xdr:cNvSpPr>
          <a:spLocks/>
        </xdr:cNvSpPr>
      </xdr:nvSpPr>
      <xdr:spPr>
        <a:xfrm>
          <a:off x="4800600" y="1600200"/>
          <a:ext cx="800100" cy="228600"/>
        </a:xfrm>
        <a:prstGeom prst="rect">
          <a:avLst/>
        </a:prstGeom>
        <a:solidFill>
          <a:srgbClr val="CC99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73</xdr:col>
      <xdr:colOff>0</xdr:colOff>
      <xdr:row>28</xdr:row>
      <xdr:rowOff>0</xdr:rowOff>
    </xdr:from>
    <xdr:to>
      <xdr:col>85</xdr:col>
      <xdr:colOff>0</xdr:colOff>
      <xdr:row>32</xdr:row>
      <xdr:rowOff>0</xdr:rowOff>
    </xdr:to>
    <xdr:sp>
      <xdr:nvSpPr>
        <xdr:cNvPr id="3" name="テキスト 34"/>
        <xdr:cNvSpPr txBox="1">
          <a:spLocks noChangeArrowheads="1"/>
        </xdr:cNvSpPr>
      </xdr:nvSpPr>
      <xdr:spPr>
        <a:xfrm>
          <a:off x="4867275" y="1600200"/>
          <a:ext cx="800100" cy="228600"/>
        </a:xfrm>
        <a:prstGeom prst="rect">
          <a:avLst/>
        </a:prstGeom>
        <a:solidFill>
          <a:srgbClr val="CC99FF"/>
        </a:solidFill>
        <a:ln w="1" cmpd="sng">
          <a:solidFill>
            <a:srgbClr val="666699"/>
          </a:solidFill>
          <a:prstDash val="dash"/>
          <a:headEnd type="none"/>
          <a:tailEnd type="none"/>
        </a:ln>
      </xdr:spPr>
      <xdr:txBody>
        <a:bodyPr vertOverflow="clip" wrap="square" anchor="ctr"/>
        <a:p>
          <a:pPr algn="dist">
            <a:defRPr/>
          </a:pPr>
          <a:r>
            <a:rPr lang="en-US" cap="none" sz="1100" b="0" i="0" u="none" baseline="0">
              <a:latin typeface="明朝"/>
              <a:ea typeface="明朝"/>
              <a:cs typeface="明朝"/>
            </a:rPr>
            <a:t>計　算</a:t>
          </a:r>
        </a:p>
      </xdr:txBody>
    </xdr:sp>
    <xdr:clientData/>
  </xdr:twoCellAnchor>
  <xdr:twoCellAnchor>
    <xdr:from>
      <xdr:col>34</xdr:col>
      <xdr:colOff>0</xdr:colOff>
      <xdr:row>14</xdr:row>
      <xdr:rowOff>0</xdr:rowOff>
    </xdr:from>
    <xdr:to>
      <xdr:col>47</xdr:col>
      <xdr:colOff>0</xdr:colOff>
      <xdr:row>16</xdr:row>
      <xdr:rowOff>47625</xdr:rowOff>
    </xdr:to>
    <xdr:sp fLocksText="0">
      <xdr:nvSpPr>
        <xdr:cNvPr id="4" name="EDT1"/>
        <xdr:cNvSpPr txBox="1">
          <a:spLocks noChangeArrowheads="1"/>
        </xdr:cNvSpPr>
      </xdr:nvSpPr>
      <xdr:spPr>
        <a:xfrm>
          <a:off x="2266950" y="8001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28.5</a:t>
          </a:r>
        </a:p>
      </xdr:txBody>
    </xdr:sp>
    <xdr:clientData fLocksWithSheet="0"/>
  </xdr:twoCellAnchor>
  <xdr:twoCellAnchor>
    <xdr:from>
      <xdr:col>34</xdr:col>
      <xdr:colOff>0</xdr:colOff>
      <xdr:row>18</xdr:row>
      <xdr:rowOff>0</xdr:rowOff>
    </xdr:from>
    <xdr:to>
      <xdr:col>47</xdr:col>
      <xdr:colOff>0</xdr:colOff>
      <xdr:row>20</xdr:row>
      <xdr:rowOff>47625</xdr:rowOff>
    </xdr:to>
    <xdr:sp fLocksText="0">
      <xdr:nvSpPr>
        <xdr:cNvPr id="5" name="EDT2"/>
        <xdr:cNvSpPr txBox="1">
          <a:spLocks noChangeArrowheads="1"/>
        </xdr:cNvSpPr>
      </xdr:nvSpPr>
      <xdr:spPr>
        <a:xfrm>
          <a:off x="2266950" y="10287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500</a:t>
          </a:r>
        </a:p>
      </xdr:txBody>
    </xdr:sp>
    <xdr:clientData fLocksWithSheet="0"/>
  </xdr:twoCellAnchor>
  <xdr:twoCellAnchor>
    <xdr:from>
      <xdr:col>34</xdr:col>
      <xdr:colOff>0</xdr:colOff>
      <xdr:row>22</xdr:row>
      <xdr:rowOff>0</xdr:rowOff>
    </xdr:from>
    <xdr:to>
      <xdr:col>47</xdr:col>
      <xdr:colOff>0</xdr:colOff>
      <xdr:row>24</xdr:row>
      <xdr:rowOff>47625</xdr:rowOff>
    </xdr:to>
    <xdr:sp fLocksText="0">
      <xdr:nvSpPr>
        <xdr:cNvPr id="6" name="EDT3"/>
        <xdr:cNvSpPr txBox="1">
          <a:spLocks noChangeArrowheads="1"/>
        </xdr:cNvSpPr>
      </xdr:nvSpPr>
      <xdr:spPr>
        <a:xfrm>
          <a:off x="2266950" y="12573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0.22</a:t>
          </a:r>
        </a:p>
      </xdr:txBody>
    </xdr:sp>
    <xdr:clientData fLocksWithSheet="0"/>
  </xdr:twoCellAnchor>
  <xdr:twoCellAnchor>
    <xdr:from>
      <xdr:col>34</xdr:col>
      <xdr:colOff>0</xdr:colOff>
      <xdr:row>26</xdr:row>
      <xdr:rowOff>0</xdr:rowOff>
    </xdr:from>
    <xdr:to>
      <xdr:col>47</xdr:col>
      <xdr:colOff>0</xdr:colOff>
      <xdr:row>28</xdr:row>
      <xdr:rowOff>47625</xdr:rowOff>
    </xdr:to>
    <xdr:sp fLocksText="0">
      <xdr:nvSpPr>
        <xdr:cNvPr id="7" name="EDT4"/>
        <xdr:cNvSpPr txBox="1">
          <a:spLocks noChangeArrowheads="1"/>
        </xdr:cNvSpPr>
      </xdr:nvSpPr>
      <xdr:spPr>
        <a:xfrm>
          <a:off x="2266950" y="14859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34</xdr:col>
      <xdr:colOff>0</xdr:colOff>
      <xdr:row>30</xdr:row>
      <xdr:rowOff>0</xdr:rowOff>
    </xdr:from>
    <xdr:to>
      <xdr:col>47</xdr:col>
      <xdr:colOff>0</xdr:colOff>
      <xdr:row>32</xdr:row>
      <xdr:rowOff>47625</xdr:rowOff>
    </xdr:to>
    <xdr:sp fLocksText="0">
      <xdr:nvSpPr>
        <xdr:cNvPr id="8" name="EDT5"/>
        <xdr:cNvSpPr txBox="1">
          <a:spLocks noChangeArrowheads="1"/>
        </xdr:cNvSpPr>
      </xdr:nvSpPr>
      <xdr:spPr>
        <a:xfrm>
          <a:off x="2266950" y="17145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13.6</a:t>
          </a:r>
        </a:p>
      </xdr:txBody>
    </xdr:sp>
    <xdr:clientData fLocksWithSheet="0"/>
  </xdr:twoCellAnchor>
  <xdr:twoCellAnchor>
    <xdr:from>
      <xdr:col>34</xdr:col>
      <xdr:colOff>0</xdr:colOff>
      <xdr:row>34</xdr:row>
      <xdr:rowOff>0</xdr:rowOff>
    </xdr:from>
    <xdr:to>
      <xdr:col>47</xdr:col>
      <xdr:colOff>0</xdr:colOff>
      <xdr:row>36</xdr:row>
      <xdr:rowOff>47625</xdr:rowOff>
    </xdr:to>
    <xdr:sp fLocksText="0">
      <xdr:nvSpPr>
        <xdr:cNvPr id="9" name="EDT6"/>
        <xdr:cNvSpPr txBox="1">
          <a:spLocks noChangeArrowheads="1"/>
        </xdr:cNvSpPr>
      </xdr:nvSpPr>
      <xdr:spPr>
        <a:xfrm>
          <a:off x="2266950" y="19431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102</xdr:col>
      <xdr:colOff>0</xdr:colOff>
      <xdr:row>13</xdr:row>
      <xdr:rowOff>0</xdr:rowOff>
    </xdr:from>
    <xdr:to>
      <xdr:col>114</xdr:col>
      <xdr:colOff>0</xdr:colOff>
      <xdr:row>16</xdr:row>
      <xdr:rowOff>0</xdr:rowOff>
    </xdr:to>
    <xdr:sp>
      <xdr:nvSpPr>
        <xdr:cNvPr id="10" name="Rectangle 44"/>
        <xdr:cNvSpPr>
          <a:spLocks/>
        </xdr:cNvSpPr>
      </xdr:nvSpPr>
      <xdr:spPr>
        <a:xfrm>
          <a:off x="6800850" y="742950"/>
          <a:ext cx="80010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115</xdr:col>
      <xdr:colOff>0</xdr:colOff>
      <xdr:row>24</xdr:row>
      <xdr:rowOff>0</xdr:rowOff>
    </xdr:from>
    <xdr:to>
      <xdr:col>115</xdr:col>
      <xdr:colOff>0</xdr:colOff>
      <xdr:row>36</xdr:row>
      <xdr:rowOff>0</xdr:rowOff>
    </xdr:to>
    <xdr:sp>
      <xdr:nvSpPr>
        <xdr:cNvPr id="11" name="Line 73"/>
        <xdr:cNvSpPr>
          <a:spLocks/>
        </xdr:cNvSpPr>
      </xdr:nvSpPr>
      <xdr:spPr>
        <a:xfrm>
          <a:off x="7667625" y="1371600"/>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101</xdr:col>
      <xdr:colOff>0</xdr:colOff>
      <xdr:row>23</xdr:row>
      <xdr:rowOff>0</xdr:rowOff>
    </xdr:from>
    <xdr:to>
      <xdr:col>101</xdr:col>
      <xdr:colOff>0</xdr:colOff>
      <xdr:row>36</xdr:row>
      <xdr:rowOff>0</xdr:rowOff>
    </xdr:to>
    <xdr:sp>
      <xdr:nvSpPr>
        <xdr:cNvPr id="12" name="Line 74"/>
        <xdr:cNvSpPr>
          <a:spLocks/>
        </xdr:cNvSpPr>
      </xdr:nvSpPr>
      <xdr:spPr>
        <a:xfrm>
          <a:off x="6734175" y="1314450"/>
          <a:ext cx="0"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92</xdr:col>
      <xdr:colOff>0</xdr:colOff>
      <xdr:row>26</xdr:row>
      <xdr:rowOff>0</xdr:rowOff>
    </xdr:from>
    <xdr:to>
      <xdr:col>129</xdr:col>
      <xdr:colOff>0</xdr:colOff>
      <xdr:row>26</xdr:row>
      <xdr:rowOff>0</xdr:rowOff>
    </xdr:to>
    <xdr:sp>
      <xdr:nvSpPr>
        <xdr:cNvPr id="13" name="Line 75"/>
        <xdr:cNvSpPr>
          <a:spLocks/>
        </xdr:cNvSpPr>
      </xdr:nvSpPr>
      <xdr:spPr>
        <a:xfrm>
          <a:off x="6134100" y="1485900"/>
          <a:ext cx="2466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92</xdr:col>
      <xdr:colOff>0</xdr:colOff>
      <xdr:row>30</xdr:row>
      <xdr:rowOff>0</xdr:rowOff>
    </xdr:from>
    <xdr:to>
      <xdr:col>129</xdr:col>
      <xdr:colOff>0</xdr:colOff>
      <xdr:row>30</xdr:row>
      <xdr:rowOff>0</xdr:rowOff>
    </xdr:to>
    <xdr:sp>
      <xdr:nvSpPr>
        <xdr:cNvPr id="14" name="Line 76"/>
        <xdr:cNvSpPr>
          <a:spLocks/>
        </xdr:cNvSpPr>
      </xdr:nvSpPr>
      <xdr:spPr>
        <a:xfrm>
          <a:off x="6134100" y="1714500"/>
          <a:ext cx="2466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92</xdr:col>
      <xdr:colOff>0</xdr:colOff>
      <xdr:row>33</xdr:row>
      <xdr:rowOff>0</xdr:rowOff>
    </xdr:from>
    <xdr:to>
      <xdr:col>129</xdr:col>
      <xdr:colOff>0</xdr:colOff>
      <xdr:row>33</xdr:row>
      <xdr:rowOff>0</xdr:rowOff>
    </xdr:to>
    <xdr:sp>
      <xdr:nvSpPr>
        <xdr:cNvPr id="15" name="Line 77"/>
        <xdr:cNvSpPr>
          <a:spLocks/>
        </xdr:cNvSpPr>
      </xdr:nvSpPr>
      <xdr:spPr>
        <a:xfrm>
          <a:off x="6134100" y="1885950"/>
          <a:ext cx="2466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80</xdr:col>
      <xdr:colOff>0</xdr:colOff>
      <xdr:row>21</xdr:row>
      <xdr:rowOff>0</xdr:rowOff>
    </xdr:from>
    <xdr:to>
      <xdr:col>80</xdr:col>
      <xdr:colOff>0</xdr:colOff>
      <xdr:row>27</xdr:row>
      <xdr:rowOff>0</xdr:rowOff>
    </xdr:to>
    <xdr:sp>
      <xdr:nvSpPr>
        <xdr:cNvPr id="16" name="Line 81"/>
        <xdr:cNvSpPr>
          <a:spLocks/>
        </xdr:cNvSpPr>
      </xdr:nvSpPr>
      <xdr:spPr>
        <a:xfrm>
          <a:off x="5334000" y="1200150"/>
          <a:ext cx="0" cy="3429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10</xdr:row>
      <xdr:rowOff>47625</xdr:rowOff>
    </xdr:from>
    <xdr:to>
      <xdr:col>43</xdr:col>
      <xdr:colOff>0</xdr:colOff>
      <xdr:row>13</xdr:row>
      <xdr:rowOff>38100</xdr:rowOff>
    </xdr:to>
    <xdr:sp fLocksText="0">
      <xdr:nvSpPr>
        <xdr:cNvPr id="1" name="EDT1"/>
        <xdr:cNvSpPr txBox="1">
          <a:spLocks noChangeArrowheads="1"/>
        </xdr:cNvSpPr>
      </xdr:nvSpPr>
      <xdr:spPr>
        <a:xfrm>
          <a:off x="2000250" y="619125"/>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28</a:t>
          </a:r>
        </a:p>
      </xdr:txBody>
    </xdr:sp>
    <xdr:clientData fLocksWithSheet="0"/>
  </xdr:twoCellAnchor>
  <xdr:twoCellAnchor>
    <xdr:from>
      <xdr:col>30</xdr:col>
      <xdr:colOff>0</xdr:colOff>
      <xdr:row>14</xdr:row>
      <xdr:rowOff>47625</xdr:rowOff>
    </xdr:from>
    <xdr:to>
      <xdr:col>43</xdr:col>
      <xdr:colOff>0</xdr:colOff>
      <xdr:row>17</xdr:row>
      <xdr:rowOff>38100</xdr:rowOff>
    </xdr:to>
    <xdr:sp fLocksText="0">
      <xdr:nvSpPr>
        <xdr:cNvPr id="2" name="EDT2"/>
        <xdr:cNvSpPr txBox="1">
          <a:spLocks noChangeArrowheads="1"/>
        </xdr:cNvSpPr>
      </xdr:nvSpPr>
      <xdr:spPr>
        <a:xfrm>
          <a:off x="2000250" y="847725"/>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1000</a:t>
          </a:r>
        </a:p>
      </xdr:txBody>
    </xdr:sp>
    <xdr:clientData fLocksWithSheet="0"/>
  </xdr:twoCellAnchor>
  <xdr:twoCellAnchor>
    <xdr:from>
      <xdr:col>30</xdr:col>
      <xdr:colOff>0</xdr:colOff>
      <xdr:row>24</xdr:row>
      <xdr:rowOff>0</xdr:rowOff>
    </xdr:from>
    <xdr:to>
      <xdr:col>43</xdr:col>
      <xdr:colOff>0</xdr:colOff>
      <xdr:row>26</xdr:row>
      <xdr:rowOff>47625</xdr:rowOff>
    </xdr:to>
    <xdr:sp fLocksText="0">
      <xdr:nvSpPr>
        <xdr:cNvPr id="3" name="EDT3"/>
        <xdr:cNvSpPr txBox="1">
          <a:spLocks noChangeArrowheads="1"/>
        </xdr:cNvSpPr>
      </xdr:nvSpPr>
      <xdr:spPr>
        <a:xfrm>
          <a:off x="2000250" y="137160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12.22</a:t>
          </a:r>
        </a:p>
      </xdr:txBody>
    </xdr:sp>
    <xdr:clientData fLocksWithSheet="0"/>
  </xdr:twoCellAnchor>
  <xdr:twoCellAnchor>
    <xdr:from>
      <xdr:col>30</xdr:col>
      <xdr:colOff>0</xdr:colOff>
      <xdr:row>28</xdr:row>
      <xdr:rowOff>47625</xdr:rowOff>
    </xdr:from>
    <xdr:to>
      <xdr:col>43</xdr:col>
      <xdr:colOff>0</xdr:colOff>
      <xdr:row>31</xdr:row>
      <xdr:rowOff>38100</xdr:rowOff>
    </xdr:to>
    <xdr:sp fLocksText="0">
      <xdr:nvSpPr>
        <xdr:cNvPr id="4" name="EDT4"/>
        <xdr:cNvSpPr txBox="1">
          <a:spLocks noChangeArrowheads="1"/>
        </xdr:cNvSpPr>
      </xdr:nvSpPr>
      <xdr:spPr>
        <a:xfrm>
          <a:off x="2000250" y="1647825"/>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30</xdr:col>
      <xdr:colOff>0</xdr:colOff>
      <xdr:row>33</xdr:row>
      <xdr:rowOff>0</xdr:rowOff>
    </xdr:from>
    <xdr:to>
      <xdr:col>43</xdr:col>
      <xdr:colOff>0</xdr:colOff>
      <xdr:row>35</xdr:row>
      <xdr:rowOff>47625</xdr:rowOff>
    </xdr:to>
    <xdr:sp fLocksText="0">
      <xdr:nvSpPr>
        <xdr:cNvPr id="5" name="EDT5"/>
        <xdr:cNvSpPr txBox="1">
          <a:spLocks noChangeArrowheads="1"/>
        </xdr:cNvSpPr>
      </xdr:nvSpPr>
      <xdr:spPr>
        <a:xfrm>
          <a:off x="2000250" y="18859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10.8</a:t>
          </a:r>
        </a:p>
      </xdr:txBody>
    </xdr:sp>
    <xdr:clientData fLocksWithSheet="0"/>
  </xdr:twoCellAnchor>
  <xdr:twoCellAnchor>
    <xdr:from>
      <xdr:col>97</xdr:col>
      <xdr:colOff>0</xdr:colOff>
      <xdr:row>24</xdr:row>
      <xdr:rowOff>0</xdr:rowOff>
    </xdr:from>
    <xdr:to>
      <xdr:col>121</xdr:col>
      <xdr:colOff>0</xdr:colOff>
      <xdr:row>24</xdr:row>
      <xdr:rowOff>0</xdr:rowOff>
    </xdr:to>
    <xdr:sp>
      <xdr:nvSpPr>
        <xdr:cNvPr id="6" name="Line 31"/>
        <xdr:cNvSpPr>
          <a:spLocks/>
        </xdr:cNvSpPr>
      </xdr:nvSpPr>
      <xdr:spPr>
        <a:xfrm>
          <a:off x="6467475" y="1371600"/>
          <a:ext cx="1600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109</xdr:col>
      <xdr:colOff>0</xdr:colOff>
      <xdr:row>12</xdr:row>
      <xdr:rowOff>0</xdr:rowOff>
    </xdr:from>
    <xdr:to>
      <xdr:col>109</xdr:col>
      <xdr:colOff>0</xdr:colOff>
      <xdr:row>36</xdr:row>
      <xdr:rowOff>0</xdr:rowOff>
    </xdr:to>
    <xdr:sp>
      <xdr:nvSpPr>
        <xdr:cNvPr id="7" name="Line 32"/>
        <xdr:cNvSpPr>
          <a:spLocks/>
        </xdr:cNvSpPr>
      </xdr:nvSpPr>
      <xdr:spPr>
        <a:xfrm flipH="1" flipV="1">
          <a:off x="7267575" y="685800"/>
          <a:ext cx="0" cy="1371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101</xdr:col>
      <xdr:colOff>0</xdr:colOff>
      <xdr:row>15</xdr:row>
      <xdr:rowOff>0</xdr:rowOff>
    </xdr:from>
    <xdr:to>
      <xdr:col>117</xdr:col>
      <xdr:colOff>0</xdr:colOff>
      <xdr:row>33</xdr:row>
      <xdr:rowOff>0</xdr:rowOff>
    </xdr:to>
    <xdr:sp>
      <xdr:nvSpPr>
        <xdr:cNvPr id="8" name="Line 33"/>
        <xdr:cNvSpPr>
          <a:spLocks/>
        </xdr:cNvSpPr>
      </xdr:nvSpPr>
      <xdr:spPr>
        <a:xfrm flipH="1">
          <a:off x="6734175" y="857250"/>
          <a:ext cx="106680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101</xdr:col>
      <xdr:colOff>0</xdr:colOff>
      <xdr:row>16</xdr:row>
      <xdr:rowOff>0</xdr:rowOff>
    </xdr:from>
    <xdr:to>
      <xdr:col>118</xdr:col>
      <xdr:colOff>0</xdr:colOff>
      <xdr:row>33</xdr:row>
      <xdr:rowOff>0</xdr:rowOff>
    </xdr:to>
    <xdr:sp>
      <xdr:nvSpPr>
        <xdr:cNvPr id="9" name="Line 34"/>
        <xdr:cNvSpPr>
          <a:spLocks/>
        </xdr:cNvSpPr>
      </xdr:nvSpPr>
      <xdr:spPr>
        <a:xfrm>
          <a:off x="6734175" y="914400"/>
          <a:ext cx="1133475"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42</xdr:col>
      <xdr:colOff>0</xdr:colOff>
      <xdr:row>51</xdr:row>
      <xdr:rowOff>9525</xdr:rowOff>
    </xdr:from>
    <xdr:to>
      <xdr:col>54</xdr:col>
      <xdr:colOff>0</xdr:colOff>
      <xdr:row>54</xdr:row>
      <xdr:rowOff>0</xdr:rowOff>
    </xdr:to>
    <xdr:sp fLocksText="0">
      <xdr:nvSpPr>
        <xdr:cNvPr id="10" name="EDT11"/>
        <xdr:cNvSpPr txBox="1">
          <a:spLocks noChangeArrowheads="1"/>
        </xdr:cNvSpPr>
      </xdr:nvSpPr>
      <xdr:spPr>
        <a:xfrm>
          <a:off x="2800350" y="292417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56</xdr:row>
      <xdr:rowOff>9525</xdr:rowOff>
    </xdr:from>
    <xdr:to>
      <xdr:col>54</xdr:col>
      <xdr:colOff>0</xdr:colOff>
      <xdr:row>59</xdr:row>
      <xdr:rowOff>0</xdr:rowOff>
    </xdr:to>
    <xdr:sp fLocksText="0">
      <xdr:nvSpPr>
        <xdr:cNvPr id="11" name="EDT21"/>
        <xdr:cNvSpPr txBox="1">
          <a:spLocks noChangeArrowheads="1"/>
        </xdr:cNvSpPr>
      </xdr:nvSpPr>
      <xdr:spPr>
        <a:xfrm>
          <a:off x="2800350" y="320992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61</xdr:row>
      <xdr:rowOff>9525</xdr:rowOff>
    </xdr:from>
    <xdr:to>
      <xdr:col>54</xdr:col>
      <xdr:colOff>0</xdr:colOff>
      <xdr:row>64</xdr:row>
      <xdr:rowOff>0</xdr:rowOff>
    </xdr:to>
    <xdr:sp fLocksText="0">
      <xdr:nvSpPr>
        <xdr:cNvPr id="12" name="EDT31"/>
        <xdr:cNvSpPr txBox="1">
          <a:spLocks noChangeArrowheads="1"/>
        </xdr:cNvSpPr>
      </xdr:nvSpPr>
      <xdr:spPr>
        <a:xfrm>
          <a:off x="2800350" y="349567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66</xdr:row>
      <xdr:rowOff>9525</xdr:rowOff>
    </xdr:from>
    <xdr:to>
      <xdr:col>54</xdr:col>
      <xdr:colOff>0</xdr:colOff>
      <xdr:row>69</xdr:row>
      <xdr:rowOff>0</xdr:rowOff>
    </xdr:to>
    <xdr:sp fLocksText="0">
      <xdr:nvSpPr>
        <xdr:cNvPr id="13" name="EDT41"/>
        <xdr:cNvSpPr txBox="1">
          <a:spLocks noChangeArrowheads="1"/>
        </xdr:cNvSpPr>
      </xdr:nvSpPr>
      <xdr:spPr>
        <a:xfrm>
          <a:off x="2800350" y="378142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71</xdr:row>
      <xdr:rowOff>9525</xdr:rowOff>
    </xdr:from>
    <xdr:to>
      <xdr:col>54</xdr:col>
      <xdr:colOff>0</xdr:colOff>
      <xdr:row>74</xdr:row>
      <xdr:rowOff>0</xdr:rowOff>
    </xdr:to>
    <xdr:sp fLocksText="0">
      <xdr:nvSpPr>
        <xdr:cNvPr id="14" name="EDT51"/>
        <xdr:cNvSpPr txBox="1">
          <a:spLocks noChangeArrowheads="1"/>
        </xdr:cNvSpPr>
      </xdr:nvSpPr>
      <xdr:spPr>
        <a:xfrm>
          <a:off x="2800350" y="406717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76</xdr:row>
      <xdr:rowOff>9525</xdr:rowOff>
    </xdr:from>
    <xdr:to>
      <xdr:col>54</xdr:col>
      <xdr:colOff>0</xdr:colOff>
      <xdr:row>79</xdr:row>
      <xdr:rowOff>0</xdr:rowOff>
    </xdr:to>
    <xdr:sp fLocksText="0">
      <xdr:nvSpPr>
        <xdr:cNvPr id="15" name="EDT61"/>
        <xdr:cNvSpPr txBox="1">
          <a:spLocks noChangeArrowheads="1"/>
        </xdr:cNvSpPr>
      </xdr:nvSpPr>
      <xdr:spPr>
        <a:xfrm>
          <a:off x="2800350" y="435292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81</xdr:row>
      <xdr:rowOff>9525</xdr:rowOff>
    </xdr:from>
    <xdr:to>
      <xdr:col>54</xdr:col>
      <xdr:colOff>0</xdr:colOff>
      <xdr:row>84</xdr:row>
      <xdr:rowOff>0</xdr:rowOff>
    </xdr:to>
    <xdr:sp fLocksText="0">
      <xdr:nvSpPr>
        <xdr:cNvPr id="16" name="EDT71"/>
        <xdr:cNvSpPr txBox="1">
          <a:spLocks noChangeArrowheads="1"/>
        </xdr:cNvSpPr>
      </xdr:nvSpPr>
      <xdr:spPr>
        <a:xfrm>
          <a:off x="2800350" y="463867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42</xdr:col>
      <xdr:colOff>0</xdr:colOff>
      <xdr:row>86</xdr:row>
      <xdr:rowOff>9525</xdr:rowOff>
    </xdr:from>
    <xdr:to>
      <xdr:col>54</xdr:col>
      <xdr:colOff>0</xdr:colOff>
      <xdr:row>89</xdr:row>
      <xdr:rowOff>0</xdr:rowOff>
    </xdr:to>
    <xdr:sp fLocksText="0">
      <xdr:nvSpPr>
        <xdr:cNvPr id="17" name="EDT81"/>
        <xdr:cNvSpPr txBox="1">
          <a:spLocks noChangeArrowheads="1"/>
        </xdr:cNvSpPr>
      </xdr:nvSpPr>
      <xdr:spPr>
        <a:xfrm>
          <a:off x="2800350" y="4924425"/>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0</a:t>
          </a:r>
        </a:p>
      </xdr:txBody>
    </xdr:sp>
    <xdr:clientData fLocksWithSheet="0"/>
  </xdr:twoCellAnchor>
  <xdr:twoCellAnchor>
    <xdr:from>
      <xdr:col>16</xdr:col>
      <xdr:colOff>0</xdr:colOff>
      <xdr:row>65</xdr:row>
      <xdr:rowOff>0</xdr:rowOff>
    </xdr:from>
    <xdr:to>
      <xdr:col>145</xdr:col>
      <xdr:colOff>0</xdr:colOff>
      <xdr:row>65</xdr:row>
      <xdr:rowOff>0</xdr:rowOff>
    </xdr:to>
    <xdr:sp>
      <xdr:nvSpPr>
        <xdr:cNvPr id="18" name="Line 79"/>
        <xdr:cNvSpPr>
          <a:spLocks/>
        </xdr:cNvSpPr>
      </xdr:nvSpPr>
      <xdr:spPr>
        <a:xfrm>
          <a:off x="1066800" y="371475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60</xdr:row>
      <xdr:rowOff>0</xdr:rowOff>
    </xdr:from>
    <xdr:to>
      <xdr:col>145</xdr:col>
      <xdr:colOff>0</xdr:colOff>
      <xdr:row>60</xdr:row>
      <xdr:rowOff>0</xdr:rowOff>
    </xdr:to>
    <xdr:sp>
      <xdr:nvSpPr>
        <xdr:cNvPr id="19" name="Line 80"/>
        <xdr:cNvSpPr>
          <a:spLocks/>
        </xdr:cNvSpPr>
      </xdr:nvSpPr>
      <xdr:spPr>
        <a:xfrm>
          <a:off x="1066800" y="342900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30</xdr:col>
      <xdr:colOff>0</xdr:colOff>
      <xdr:row>39</xdr:row>
      <xdr:rowOff>0</xdr:rowOff>
    </xdr:from>
    <xdr:to>
      <xdr:col>30</xdr:col>
      <xdr:colOff>0</xdr:colOff>
      <xdr:row>90</xdr:row>
      <xdr:rowOff>0</xdr:rowOff>
    </xdr:to>
    <xdr:sp>
      <xdr:nvSpPr>
        <xdr:cNvPr id="20" name="Line 86"/>
        <xdr:cNvSpPr>
          <a:spLocks/>
        </xdr:cNvSpPr>
      </xdr:nvSpPr>
      <xdr:spPr>
        <a:xfrm>
          <a:off x="2000250"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82</xdr:col>
      <xdr:colOff>0</xdr:colOff>
      <xdr:row>56</xdr:row>
      <xdr:rowOff>9525</xdr:rowOff>
    </xdr:from>
    <xdr:to>
      <xdr:col>90</xdr:col>
      <xdr:colOff>0</xdr:colOff>
      <xdr:row>59</xdr:row>
      <xdr:rowOff>0</xdr:rowOff>
    </xdr:to>
    <xdr:sp fLocksText="0">
      <xdr:nvSpPr>
        <xdr:cNvPr id="21" name="EDT22"/>
        <xdr:cNvSpPr txBox="1">
          <a:spLocks noChangeArrowheads="1"/>
        </xdr:cNvSpPr>
      </xdr:nvSpPr>
      <xdr:spPr>
        <a:xfrm>
          <a:off x="5467350" y="320992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61</xdr:row>
      <xdr:rowOff>9525</xdr:rowOff>
    </xdr:from>
    <xdr:to>
      <xdr:col>90</xdr:col>
      <xdr:colOff>0</xdr:colOff>
      <xdr:row>64</xdr:row>
      <xdr:rowOff>0</xdr:rowOff>
    </xdr:to>
    <xdr:sp fLocksText="0">
      <xdr:nvSpPr>
        <xdr:cNvPr id="22" name="EDT32"/>
        <xdr:cNvSpPr txBox="1">
          <a:spLocks noChangeArrowheads="1"/>
        </xdr:cNvSpPr>
      </xdr:nvSpPr>
      <xdr:spPr>
        <a:xfrm>
          <a:off x="5467350" y="349567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66</xdr:row>
      <xdr:rowOff>9525</xdr:rowOff>
    </xdr:from>
    <xdr:to>
      <xdr:col>90</xdr:col>
      <xdr:colOff>0</xdr:colOff>
      <xdr:row>69</xdr:row>
      <xdr:rowOff>0</xdr:rowOff>
    </xdr:to>
    <xdr:sp fLocksText="0">
      <xdr:nvSpPr>
        <xdr:cNvPr id="23" name="EDT42"/>
        <xdr:cNvSpPr txBox="1">
          <a:spLocks noChangeArrowheads="1"/>
        </xdr:cNvSpPr>
      </xdr:nvSpPr>
      <xdr:spPr>
        <a:xfrm>
          <a:off x="5467350" y="378142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71</xdr:row>
      <xdr:rowOff>9525</xdr:rowOff>
    </xdr:from>
    <xdr:to>
      <xdr:col>90</xdr:col>
      <xdr:colOff>0</xdr:colOff>
      <xdr:row>74</xdr:row>
      <xdr:rowOff>0</xdr:rowOff>
    </xdr:to>
    <xdr:sp fLocksText="0">
      <xdr:nvSpPr>
        <xdr:cNvPr id="24" name="EDT52"/>
        <xdr:cNvSpPr txBox="1">
          <a:spLocks noChangeArrowheads="1"/>
        </xdr:cNvSpPr>
      </xdr:nvSpPr>
      <xdr:spPr>
        <a:xfrm>
          <a:off x="5467350" y="406717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76</xdr:row>
      <xdr:rowOff>9525</xdr:rowOff>
    </xdr:from>
    <xdr:to>
      <xdr:col>90</xdr:col>
      <xdr:colOff>0</xdr:colOff>
      <xdr:row>79</xdr:row>
      <xdr:rowOff>0</xdr:rowOff>
    </xdr:to>
    <xdr:sp fLocksText="0">
      <xdr:nvSpPr>
        <xdr:cNvPr id="25" name="EDT62"/>
        <xdr:cNvSpPr txBox="1">
          <a:spLocks noChangeArrowheads="1"/>
        </xdr:cNvSpPr>
      </xdr:nvSpPr>
      <xdr:spPr>
        <a:xfrm>
          <a:off x="5467350" y="435292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81</xdr:row>
      <xdr:rowOff>9525</xdr:rowOff>
    </xdr:from>
    <xdr:to>
      <xdr:col>90</xdr:col>
      <xdr:colOff>0</xdr:colOff>
      <xdr:row>84</xdr:row>
      <xdr:rowOff>0</xdr:rowOff>
    </xdr:to>
    <xdr:sp fLocksText="0">
      <xdr:nvSpPr>
        <xdr:cNvPr id="26" name="EDT72"/>
        <xdr:cNvSpPr txBox="1">
          <a:spLocks noChangeArrowheads="1"/>
        </xdr:cNvSpPr>
      </xdr:nvSpPr>
      <xdr:spPr>
        <a:xfrm>
          <a:off x="5467350" y="463867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86</xdr:row>
      <xdr:rowOff>9525</xdr:rowOff>
    </xdr:from>
    <xdr:to>
      <xdr:col>90</xdr:col>
      <xdr:colOff>0</xdr:colOff>
      <xdr:row>89</xdr:row>
      <xdr:rowOff>0</xdr:rowOff>
    </xdr:to>
    <xdr:sp fLocksText="0">
      <xdr:nvSpPr>
        <xdr:cNvPr id="27" name="EDT82"/>
        <xdr:cNvSpPr txBox="1">
          <a:spLocks noChangeArrowheads="1"/>
        </xdr:cNvSpPr>
      </xdr:nvSpPr>
      <xdr:spPr>
        <a:xfrm>
          <a:off x="5467350" y="492442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82</xdr:col>
      <xdr:colOff>0</xdr:colOff>
      <xdr:row>51</xdr:row>
      <xdr:rowOff>9525</xdr:rowOff>
    </xdr:from>
    <xdr:to>
      <xdr:col>90</xdr:col>
      <xdr:colOff>0</xdr:colOff>
      <xdr:row>54</xdr:row>
      <xdr:rowOff>0</xdr:rowOff>
    </xdr:to>
    <xdr:sp fLocksText="0">
      <xdr:nvSpPr>
        <xdr:cNvPr id="28" name="EDT12"/>
        <xdr:cNvSpPr txBox="1">
          <a:spLocks noChangeArrowheads="1"/>
        </xdr:cNvSpPr>
      </xdr:nvSpPr>
      <xdr:spPr>
        <a:xfrm>
          <a:off x="5467350" y="2924175"/>
          <a:ext cx="533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17</a:t>
          </a:r>
        </a:p>
      </xdr:txBody>
    </xdr:sp>
    <xdr:clientData fLocksWithSheet="0"/>
  </xdr:twoCellAnchor>
  <xdr:twoCellAnchor>
    <xdr:from>
      <xdr:col>77</xdr:col>
      <xdr:colOff>0</xdr:colOff>
      <xdr:row>50</xdr:row>
      <xdr:rowOff>0</xdr:rowOff>
    </xdr:from>
    <xdr:to>
      <xdr:col>77</xdr:col>
      <xdr:colOff>0</xdr:colOff>
      <xdr:row>90</xdr:row>
      <xdr:rowOff>0</xdr:rowOff>
    </xdr:to>
    <xdr:sp>
      <xdr:nvSpPr>
        <xdr:cNvPr id="29" name="Line 133"/>
        <xdr:cNvSpPr>
          <a:spLocks/>
        </xdr:cNvSpPr>
      </xdr:nvSpPr>
      <xdr:spPr>
        <a:xfrm>
          <a:off x="5133975" y="2857500"/>
          <a:ext cx="0" cy="2286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125</xdr:col>
      <xdr:colOff>0</xdr:colOff>
      <xdr:row>50</xdr:row>
      <xdr:rowOff>0</xdr:rowOff>
    </xdr:from>
    <xdr:to>
      <xdr:col>125</xdr:col>
      <xdr:colOff>0</xdr:colOff>
      <xdr:row>90</xdr:row>
      <xdr:rowOff>0</xdr:rowOff>
    </xdr:to>
    <xdr:sp>
      <xdr:nvSpPr>
        <xdr:cNvPr id="30" name="Line 142"/>
        <xdr:cNvSpPr>
          <a:spLocks/>
        </xdr:cNvSpPr>
      </xdr:nvSpPr>
      <xdr:spPr>
        <a:xfrm>
          <a:off x="8334375" y="2857500"/>
          <a:ext cx="0" cy="2286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141</xdr:col>
      <xdr:colOff>0</xdr:colOff>
      <xdr:row>50</xdr:row>
      <xdr:rowOff>0</xdr:rowOff>
    </xdr:from>
    <xdr:to>
      <xdr:col>141</xdr:col>
      <xdr:colOff>0</xdr:colOff>
      <xdr:row>90</xdr:row>
      <xdr:rowOff>0</xdr:rowOff>
    </xdr:to>
    <xdr:sp>
      <xdr:nvSpPr>
        <xdr:cNvPr id="31" name="Line 169"/>
        <xdr:cNvSpPr>
          <a:spLocks/>
        </xdr:cNvSpPr>
      </xdr:nvSpPr>
      <xdr:spPr>
        <a:xfrm>
          <a:off x="9401175" y="2857500"/>
          <a:ext cx="0" cy="2286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109</xdr:col>
      <xdr:colOff>0</xdr:colOff>
      <xdr:row>50</xdr:row>
      <xdr:rowOff>0</xdr:rowOff>
    </xdr:from>
    <xdr:to>
      <xdr:col>109</xdr:col>
      <xdr:colOff>0</xdr:colOff>
      <xdr:row>90</xdr:row>
      <xdr:rowOff>0</xdr:rowOff>
    </xdr:to>
    <xdr:sp>
      <xdr:nvSpPr>
        <xdr:cNvPr id="32" name="Line 187"/>
        <xdr:cNvSpPr>
          <a:spLocks/>
        </xdr:cNvSpPr>
      </xdr:nvSpPr>
      <xdr:spPr>
        <a:xfrm>
          <a:off x="7267575" y="2857500"/>
          <a:ext cx="0" cy="2286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16</xdr:col>
      <xdr:colOff>0</xdr:colOff>
      <xdr:row>70</xdr:row>
      <xdr:rowOff>0</xdr:rowOff>
    </xdr:from>
    <xdr:to>
      <xdr:col>145</xdr:col>
      <xdr:colOff>0</xdr:colOff>
      <xdr:row>70</xdr:row>
      <xdr:rowOff>0</xdr:rowOff>
    </xdr:to>
    <xdr:sp>
      <xdr:nvSpPr>
        <xdr:cNvPr id="33" name="Line 188"/>
        <xdr:cNvSpPr>
          <a:spLocks/>
        </xdr:cNvSpPr>
      </xdr:nvSpPr>
      <xdr:spPr>
        <a:xfrm>
          <a:off x="1066800" y="400050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75</xdr:row>
      <xdr:rowOff>0</xdr:rowOff>
    </xdr:from>
    <xdr:to>
      <xdr:col>145</xdr:col>
      <xdr:colOff>0</xdr:colOff>
      <xdr:row>75</xdr:row>
      <xdr:rowOff>0</xdr:rowOff>
    </xdr:to>
    <xdr:sp>
      <xdr:nvSpPr>
        <xdr:cNvPr id="34" name="Line 189"/>
        <xdr:cNvSpPr>
          <a:spLocks/>
        </xdr:cNvSpPr>
      </xdr:nvSpPr>
      <xdr:spPr>
        <a:xfrm>
          <a:off x="1066800" y="428625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80</xdr:row>
      <xdr:rowOff>0</xdr:rowOff>
    </xdr:from>
    <xdr:to>
      <xdr:col>145</xdr:col>
      <xdr:colOff>0</xdr:colOff>
      <xdr:row>80</xdr:row>
      <xdr:rowOff>0</xdr:rowOff>
    </xdr:to>
    <xdr:sp>
      <xdr:nvSpPr>
        <xdr:cNvPr id="35" name="Line 190"/>
        <xdr:cNvSpPr>
          <a:spLocks/>
        </xdr:cNvSpPr>
      </xdr:nvSpPr>
      <xdr:spPr>
        <a:xfrm>
          <a:off x="1066800" y="457200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85</xdr:row>
      <xdr:rowOff>0</xdr:rowOff>
    </xdr:from>
    <xdr:to>
      <xdr:col>145</xdr:col>
      <xdr:colOff>0</xdr:colOff>
      <xdr:row>85</xdr:row>
      <xdr:rowOff>0</xdr:rowOff>
    </xdr:to>
    <xdr:sp>
      <xdr:nvSpPr>
        <xdr:cNvPr id="36" name="Line 191"/>
        <xdr:cNvSpPr>
          <a:spLocks/>
        </xdr:cNvSpPr>
      </xdr:nvSpPr>
      <xdr:spPr>
        <a:xfrm>
          <a:off x="1066800" y="485775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39</xdr:row>
      <xdr:rowOff>0</xdr:rowOff>
    </xdr:from>
    <xdr:to>
      <xdr:col>145</xdr:col>
      <xdr:colOff>0</xdr:colOff>
      <xdr:row>39</xdr:row>
      <xdr:rowOff>0</xdr:rowOff>
    </xdr:to>
    <xdr:sp>
      <xdr:nvSpPr>
        <xdr:cNvPr id="37" name="Line 192"/>
        <xdr:cNvSpPr>
          <a:spLocks/>
        </xdr:cNvSpPr>
      </xdr:nvSpPr>
      <xdr:spPr>
        <a:xfrm>
          <a:off x="1066800" y="222885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50</xdr:row>
      <xdr:rowOff>0</xdr:rowOff>
    </xdr:from>
    <xdr:to>
      <xdr:col>145</xdr:col>
      <xdr:colOff>0</xdr:colOff>
      <xdr:row>50</xdr:row>
      <xdr:rowOff>0</xdr:rowOff>
    </xdr:to>
    <xdr:sp>
      <xdr:nvSpPr>
        <xdr:cNvPr id="38" name="Line 193"/>
        <xdr:cNvSpPr>
          <a:spLocks/>
        </xdr:cNvSpPr>
      </xdr:nvSpPr>
      <xdr:spPr>
        <a:xfrm>
          <a:off x="1066800" y="285750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55</xdr:row>
      <xdr:rowOff>0</xdr:rowOff>
    </xdr:from>
    <xdr:to>
      <xdr:col>145</xdr:col>
      <xdr:colOff>0</xdr:colOff>
      <xdr:row>55</xdr:row>
      <xdr:rowOff>0</xdr:rowOff>
    </xdr:to>
    <xdr:sp>
      <xdr:nvSpPr>
        <xdr:cNvPr id="39" name="Line 194"/>
        <xdr:cNvSpPr>
          <a:spLocks/>
        </xdr:cNvSpPr>
      </xdr:nvSpPr>
      <xdr:spPr>
        <a:xfrm>
          <a:off x="1066800" y="314325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41</xdr:col>
      <xdr:colOff>0</xdr:colOff>
      <xdr:row>39</xdr:row>
      <xdr:rowOff>0</xdr:rowOff>
    </xdr:from>
    <xdr:to>
      <xdr:col>41</xdr:col>
      <xdr:colOff>0</xdr:colOff>
      <xdr:row>90</xdr:row>
      <xdr:rowOff>0</xdr:rowOff>
    </xdr:to>
    <xdr:sp>
      <xdr:nvSpPr>
        <xdr:cNvPr id="40" name="Line 207"/>
        <xdr:cNvSpPr>
          <a:spLocks/>
        </xdr:cNvSpPr>
      </xdr:nvSpPr>
      <xdr:spPr>
        <a:xfrm>
          <a:off x="27336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39</xdr:row>
      <xdr:rowOff>0</xdr:rowOff>
    </xdr:from>
    <xdr:to>
      <xdr:col>16</xdr:col>
      <xdr:colOff>0</xdr:colOff>
      <xdr:row>90</xdr:row>
      <xdr:rowOff>0</xdr:rowOff>
    </xdr:to>
    <xdr:sp>
      <xdr:nvSpPr>
        <xdr:cNvPr id="41" name="Line 208"/>
        <xdr:cNvSpPr>
          <a:spLocks/>
        </xdr:cNvSpPr>
      </xdr:nvSpPr>
      <xdr:spPr>
        <a:xfrm>
          <a:off x="1066800"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65</xdr:col>
      <xdr:colOff>0</xdr:colOff>
      <xdr:row>39</xdr:row>
      <xdr:rowOff>0</xdr:rowOff>
    </xdr:from>
    <xdr:to>
      <xdr:col>65</xdr:col>
      <xdr:colOff>0</xdr:colOff>
      <xdr:row>90</xdr:row>
      <xdr:rowOff>0</xdr:rowOff>
    </xdr:to>
    <xdr:sp>
      <xdr:nvSpPr>
        <xdr:cNvPr id="42" name="Line 209"/>
        <xdr:cNvSpPr>
          <a:spLocks/>
        </xdr:cNvSpPr>
      </xdr:nvSpPr>
      <xdr:spPr>
        <a:xfrm>
          <a:off x="43338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81</xdr:col>
      <xdr:colOff>0</xdr:colOff>
      <xdr:row>39</xdr:row>
      <xdr:rowOff>0</xdr:rowOff>
    </xdr:from>
    <xdr:to>
      <xdr:col>81</xdr:col>
      <xdr:colOff>0</xdr:colOff>
      <xdr:row>90</xdr:row>
      <xdr:rowOff>0</xdr:rowOff>
    </xdr:to>
    <xdr:sp>
      <xdr:nvSpPr>
        <xdr:cNvPr id="43" name="Line 210"/>
        <xdr:cNvSpPr>
          <a:spLocks/>
        </xdr:cNvSpPr>
      </xdr:nvSpPr>
      <xdr:spPr>
        <a:xfrm>
          <a:off x="54006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97</xdr:col>
      <xdr:colOff>0</xdr:colOff>
      <xdr:row>39</xdr:row>
      <xdr:rowOff>0</xdr:rowOff>
    </xdr:from>
    <xdr:to>
      <xdr:col>97</xdr:col>
      <xdr:colOff>0</xdr:colOff>
      <xdr:row>90</xdr:row>
      <xdr:rowOff>0</xdr:rowOff>
    </xdr:to>
    <xdr:sp>
      <xdr:nvSpPr>
        <xdr:cNvPr id="44" name="Line 211"/>
        <xdr:cNvSpPr>
          <a:spLocks/>
        </xdr:cNvSpPr>
      </xdr:nvSpPr>
      <xdr:spPr>
        <a:xfrm>
          <a:off x="64674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113</xdr:col>
      <xdr:colOff>0</xdr:colOff>
      <xdr:row>39</xdr:row>
      <xdr:rowOff>0</xdr:rowOff>
    </xdr:from>
    <xdr:to>
      <xdr:col>113</xdr:col>
      <xdr:colOff>0</xdr:colOff>
      <xdr:row>90</xdr:row>
      <xdr:rowOff>0</xdr:rowOff>
    </xdr:to>
    <xdr:sp>
      <xdr:nvSpPr>
        <xdr:cNvPr id="45" name="Line 212"/>
        <xdr:cNvSpPr>
          <a:spLocks/>
        </xdr:cNvSpPr>
      </xdr:nvSpPr>
      <xdr:spPr>
        <a:xfrm>
          <a:off x="75342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129</xdr:col>
      <xdr:colOff>0</xdr:colOff>
      <xdr:row>39</xdr:row>
      <xdr:rowOff>0</xdr:rowOff>
    </xdr:from>
    <xdr:to>
      <xdr:col>129</xdr:col>
      <xdr:colOff>0</xdr:colOff>
      <xdr:row>89</xdr:row>
      <xdr:rowOff>0</xdr:rowOff>
    </xdr:to>
    <xdr:sp>
      <xdr:nvSpPr>
        <xdr:cNvPr id="46" name="Line 213"/>
        <xdr:cNvSpPr>
          <a:spLocks/>
        </xdr:cNvSpPr>
      </xdr:nvSpPr>
      <xdr:spPr>
        <a:xfrm>
          <a:off x="8601075" y="2228850"/>
          <a:ext cx="0" cy="2857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145</xdr:col>
      <xdr:colOff>0</xdr:colOff>
      <xdr:row>39</xdr:row>
      <xdr:rowOff>0</xdr:rowOff>
    </xdr:from>
    <xdr:to>
      <xdr:col>145</xdr:col>
      <xdr:colOff>0</xdr:colOff>
      <xdr:row>90</xdr:row>
      <xdr:rowOff>0</xdr:rowOff>
    </xdr:to>
    <xdr:sp>
      <xdr:nvSpPr>
        <xdr:cNvPr id="47" name="Line 214"/>
        <xdr:cNvSpPr>
          <a:spLocks/>
        </xdr:cNvSpPr>
      </xdr:nvSpPr>
      <xdr:spPr>
        <a:xfrm>
          <a:off x="966787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39</xdr:row>
      <xdr:rowOff>0</xdr:rowOff>
    </xdr:from>
    <xdr:to>
      <xdr:col>22</xdr:col>
      <xdr:colOff>0</xdr:colOff>
      <xdr:row>90</xdr:row>
      <xdr:rowOff>0</xdr:rowOff>
    </xdr:to>
    <xdr:sp>
      <xdr:nvSpPr>
        <xdr:cNvPr id="48" name="Line 215"/>
        <xdr:cNvSpPr>
          <a:spLocks/>
        </xdr:cNvSpPr>
      </xdr:nvSpPr>
      <xdr:spPr>
        <a:xfrm>
          <a:off x="1466850"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67</xdr:col>
      <xdr:colOff>0</xdr:colOff>
      <xdr:row>19</xdr:row>
      <xdr:rowOff>9525</xdr:rowOff>
    </xdr:from>
    <xdr:to>
      <xdr:col>77</xdr:col>
      <xdr:colOff>0</xdr:colOff>
      <xdr:row>22</xdr:row>
      <xdr:rowOff>0</xdr:rowOff>
    </xdr:to>
    <xdr:sp fLocksText="0">
      <xdr:nvSpPr>
        <xdr:cNvPr id="49" name="EDT6"/>
        <xdr:cNvSpPr txBox="1">
          <a:spLocks noChangeArrowheads="1"/>
        </xdr:cNvSpPr>
      </xdr:nvSpPr>
      <xdr:spPr>
        <a:xfrm>
          <a:off x="4467225" y="1095375"/>
          <a:ext cx="6667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67</xdr:col>
      <xdr:colOff>0</xdr:colOff>
      <xdr:row>23</xdr:row>
      <xdr:rowOff>9525</xdr:rowOff>
    </xdr:from>
    <xdr:to>
      <xdr:col>77</xdr:col>
      <xdr:colOff>0</xdr:colOff>
      <xdr:row>26</xdr:row>
      <xdr:rowOff>0</xdr:rowOff>
    </xdr:to>
    <xdr:sp fLocksText="0">
      <xdr:nvSpPr>
        <xdr:cNvPr id="50" name="EDT7"/>
        <xdr:cNvSpPr txBox="1">
          <a:spLocks noChangeArrowheads="1"/>
        </xdr:cNvSpPr>
      </xdr:nvSpPr>
      <xdr:spPr>
        <a:xfrm>
          <a:off x="4467225" y="1323975"/>
          <a:ext cx="6667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49</xdr:col>
      <xdr:colOff>0</xdr:colOff>
      <xdr:row>20</xdr:row>
      <xdr:rowOff>0</xdr:rowOff>
    </xdr:from>
    <xdr:to>
      <xdr:col>52</xdr:col>
      <xdr:colOff>0</xdr:colOff>
      <xdr:row>20</xdr:row>
      <xdr:rowOff>0</xdr:rowOff>
    </xdr:to>
    <xdr:sp>
      <xdr:nvSpPr>
        <xdr:cNvPr id="51" name="Line 237"/>
        <xdr:cNvSpPr>
          <a:spLocks/>
        </xdr:cNvSpPr>
      </xdr:nvSpPr>
      <xdr:spPr>
        <a:xfrm>
          <a:off x="3267075" y="1143000"/>
          <a:ext cx="200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49</xdr:col>
      <xdr:colOff>0</xdr:colOff>
      <xdr:row>20</xdr:row>
      <xdr:rowOff>0</xdr:rowOff>
    </xdr:from>
    <xdr:to>
      <xdr:col>52</xdr:col>
      <xdr:colOff>0</xdr:colOff>
      <xdr:row>24</xdr:row>
      <xdr:rowOff>0</xdr:rowOff>
    </xdr:to>
    <xdr:sp>
      <xdr:nvSpPr>
        <xdr:cNvPr id="52" name="Line 238"/>
        <xdr:cNvSpPr>
          <a:spLocks/>
        </xdr:cNvSpPr>
      </xdr:nvSpPr>
      <xdr:spPr>
        <a:xfrm>
          <a:off x="3267075" y="1143000"/>
          <a:ext cx="200025" cy="2286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55</xdr:col>
      <xdr:colOff>0</xdr:colOff>
      <xdr:row>39</xdr:row>
      <xdr:rowOff>0</xdr:rowOff>
    </xdr:from>
    <xdr:to>
      <xdr:col>55</xdr:col>
      <xdr:colOff>0</xdr:colOff>
      <xdr:row>90</xdr:row>
      <xdr:rowOff>0</xdr:rowOff>
    </xdr:to>
    <xdr:sp>
      <xdr:nvSpPr>
        <xdr:cNvPr id="53" name="Line 239"/>
        <xdr:cNvSpPr>
          <a:spLocks/>
        </xdr:cNvSpPr>
      </xdr:nvSpPr>
      <xdr:spPr>
        <a:xfrm>
          <a:off x="3667125" y="2228850"/>
          <a:ext cx="0" cy="2914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90</xdr:row>
      <xdr:rowOff>0</xdr:rowOff>
    </xdr:from>
    <xdr:to>
      <xdr:col>145</xdr:col>
      <xdr:colOff>0</xdr:colOff>
      <xdr:row>90</xdr:row>
      <xdr:rowOff>0</xdr:rowOff>
    </xdr:to>
    <xdr:sp>
      <xdr:nvSpPr>
        <xdr:cNvPr id="54" name="Line 240"/>
        <xdr:cNvSpPr>
          <a:spLocks/>
        </xdr:cNvSpPr>
      </xdr:nvSpPr>
      <xdr:spPr>
        <a:xfrm>
          <a:off x="1066800" y="5143500"/>
          <a:ext cx="860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131</xdr:col>
      <xdr:colOff>0</xdr:colOff>
      <xdr:row>23</xdr:row>
      <xdr:rowOff>0</xdr:rowOff>
    </xdr:from>
    <xdr:to>
      <xdr:col>131</xdr:col>
      <xdr:colOff>0</xdr:colOff>
      <xdr:row>32</xdr:row>
      <xdr:rowOff>0</xdr:rowOff>
    </xdr:to>
    <xdr:sp>
      <xdr:nvSpPr>
        <xdr:cNvPr id="55" name="Line 242"/>
        <xdr:cNvSpPr>
          <a:spLocks/>
        </xdr:cNvSpPr>
      </xdr:nvSpPr>
      <xdr:spPr>
        <a:xfrm>
          <a:off x="8734425" y="1314450"/>
          <a:ext cx="0" cy="514350"/>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23</xdr:row>
      <xdr:rowOff>0</xdr:rowOff>
    </xdr:from>
    <xdr:to>
      <xdr:col>39</xdr:col>
      <xdr:colOff>0</xdr:colOff>
      <xdr:row>25</xdr:row>
      <xdr:rowOff>47625</xdr:rowOff>
    </xdr:to>
    <xdr:sp fLocksText="0">
      <xdr:nvSpPr>
        <xdr:cNvPr id="1" name="EDT1"/>
        <xdr:cNvSpPr txBox="1">
          <a:spLocks noChangeArrowheads="1"/>
        </xdr:cNvSpPr>
      </xdr:nvSpPr>
      <xdr:spPr>
        <a:xfrm>
          <a:off x="1733550" y="13144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26</xdr:col>
      <xdr:colOff>0</xdr:colOff>
      <xdr:row>27</xdr:row>
      <xdr:rowOff>0</xdr:rowOff>
    </xdr:from>
    <xdr:to>
      <xdr:col>39</xdr:col>
      <xdr:colOff>0</xdr:colOff>
      <xdr:row>29</xdr:row>
      <xdr:rowOff>47625</xdr:rowOff>
    </xdr:to>
    <xdr:sp fLocksText="0">
      <xdr:nvSpPr>
        <xdr:cNvPr id="2" name="EDT2"/>
        <xdr:cNvSpPr txBox="1">
          <a:spLocks noChangeArrowheads="1"/>
        </xdr:cNvSpPr>
      </xdr:nvSpPr>
      <xdr:spPr>
        <a:xfrm>
          <a:off x="1733550" y="15430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26</xdr:col>
      <xdr:colOff>0</xdr:colOff>
      <xdr:row>31</xdr:row>
      <xdr:rowOff>0</xdr:rowOff>
    </xdr:from>
    <xdr:to>
      <xdr:col>39</xdr:col>
      <xdr:colOff>0</xdr:colOff>
      <xdr:row>33</xdr:row>
      <xdr:rowOff>47625</xdr:rowOff>
    </xdr:to>
    <xdr:sp fLocksText="0">
      <xdr:nvSpPr>
        <xdr:cNvPr id="3" name="EDT3"/>
        <xdr:cNvSpPr txBox="1">
          <a:spLocks noChangeArrowheads="1"/>
        </xdr:cNvSpPr>
      </xdr:nvSpPr>
      <xdr:spPr>
        <a:xfrm>
          <a:off x="1733550" y="17716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26</xdr:col>
      <xdr:colOff>0</xdr:colOff>
      <xdr:row>35</xdr:row>
      <xdr:rowOff>0</xdr:rowOff>
    </xdr:from>
    <xdr:to>
      <xdr:col>39</xdr:col>
      <xdr:colOff>0</xdr:colOff>
      <xdr:row>37</xdr:row>
      <xdr:rowOff>47625</xdr:rowOff>
    </xdr:to>
    <xdr:sp fLocksText="0">
      <xdr:nvSpPr>
        <xdr:cNvPr id="4" name="EDT4"/>
        <xdr:cNvSpPr txBox="1">
          <a:spLocks noChangeArrowheads="1"/>
        </xdr:cNvSpPr>
      </xdr:nvSpPr>
      <xdr:spPr>
        <a:xfrm>
          <a:off x="1733550" y="20002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26</xdr:col>
      <xdr:colOff>0</xdr:colOff>
      <xdr:row>39</xdr:row>
      <xdr:rowOff>0</xdr:rowOff>
    </xdr:from>
    <xdr:to>
      <xdr:col>39</xdr:col>
      <xdr:colOff>0</xdr:colOff>
      <xdr:row>41</xdr:row>
      <xdr:rowOff>47625</xdr:rowOff>
    </xdr:to>
    <xdr:sp fLocksText="0">
      <xdr:nvSpPr>
        <xdr:cNvPr id="5" name="EDT5"/>
        <xdr:cNvSpPr txBox="1">
          <a:spLocks noChangeArrowheads="1"/>
        </xdr:cNvSpPr>
      </xdr:nvSpPr>
      <xdr:spPr>
        <a:xfrm>
          <a:off x="1733550" y="22288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26</xdr:col>
      <xdr:colOff>0</xdr:colOff>
      <xdr:row>43</xdr:row>
      <xdr:rowOff>0</xdr:rowOff>
    </xdr:from>
    <xdr:to>
      <xdr:col>39</xdr:col>
      <xdr:colOff>0</xdr:colOff>
      <xdr:row>45</xdr:row>
      <xdr:rowOff>47625</xdr:rowOff>
    </xdr:to>
    <xdr:sp fLocksText="0">
      <xdr:nvSpPr>
        <xdr:cNvPr id="6" name="EDT6"/>
        <xdr:cNvSpPr txBox="1">
          <a:spLocks noChangeArrowheads="1"/>
        </xdr:cNvSpPr>
      </xdr:nvSpPr>
      <xdr:spPr>
        <a:xfrm>
          <a:off x="1733550" y="2457450"/>
          <a:ext cx="866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83</xdr:col>
      <xdr:colOff>0</xdr:colOff>
      <xdr:row>30</xdr:row>
      <xdr:rowOff>0</xdr:rowOff>
    </xdr:from>
    <xdr:to>
      <xdr:col>95</xdr:col>
      <xdr:colOff>0</xdr:colOff>
      <xdr:row>32</xdr:row>
      <xdr:rowOff>47625</xdr:rowOff>
    </xdr:to>
    <xdr:sp fLocksText="0">
      <xdr:nvSpPr>
        <xdr:cNvPr id="7" name="EDT7"/>
        <xdr:cNvSpPr txBox="1">
          <a:spLocks noChangeArrowheads="1"/>
        </xdr:cNvSpPr>
      </xdr:nvSpPr>
      <xdr:spPr>
        <a:xfrm>
          <a:off x="5534025" y="1714500"/>
          <a:ext cx="8001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103</xdr:col>
      <xdr:colOff>0</xdr:colOff>
      <xdr:row>36</xdr:row>
      <xdr:rowOff>0</xdr:rowOff>
    </xdr:from>
    <xdr:to>
      <xdr:col>112</xdr:col>
      <xdr:colOff>0</xdr:colOff>
      <xdr:row>38</xdr:row>
      <xdr:rowOff>47625</xdr:rowOff>
    </xdr:to>
    <xdr:sp fLocksText="0">
      <xdr:nvSpPr>
        <xdr:cNvPr id="8" name="EDT8"/>
        <xdr:cNvSpPr txBox="1">
          <a:spLocks noChangeArrowheads="1"/>
        </xdr:cNvSpPr>
      </xdr:nvSpPr>
      <xdr:spPr>
        <a:xfrm>
          <a:off x="6867525" y="2057400"/>
          <a:ext cx="600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75</xdr:col>
      <xdr:colOff>0</xdr:colOff>
      <xdr:row>16</xdr:row>
      <xdr:rowOff>0</xdr:rowOff>
    </xdr:from>
    <xdr:to>
      <xdr:col>93</xdr:col>
      <xdr:colOff>0</xdr:colOff>
      <xdr:row>18</xdr:row>
      <xdr:rowOff>47625</xdr:rowOff>
    </xdr:to>
    <xdr:sp fLocksText="0">
      <xdr:nvSpPr>
        <xdr:cNvPr id="9" name="EDT0"/>
        <xdr:cNvSpPr txBox="1">
          <a:spLocks noChangeArrowheads="1"/>
        </xdr:cNvSpPr>
      </xdr:nvSpPr>
      <xdr:spPr>
        <a:xfrm>
          <a:off x="5000625" y="914400"/>
          <a:ext cx="12001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103</xdr:col>
      <xdr:colOff>0</xdr:colOff>
      <xdr:row>40</xdr:row>
      <xdr:rowOff>0</xdr:rowOff>
    </xdr:from>
    <xdr:to>
      <xdr:col>112</xdr:col>
      <xdr:colOff>0</xdr:colOff>
      <xdr:row>42</xdr:row>
      <xdr:rowOff>47625</xdr:rowOff>
    </xdr:to>
    <xdr:sp fLocksText="0">
      <xdr:nvSpPr>
        <xdr:cNvPr id="10" name="EDT9"/>
        <xdr:cNvSpPr txBox="1">
          <a:spLocks noChangeArrowheads="1"/>
        </xdr:cNvSpPr>
      </xdr:nvSpPr>
      <xdr:spPr>
        <a:xfrm>
          <a:off x="6867525" y="2286000"/>
          <a:ext cx="6000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fLocksWithSheet="0"/>
  </xdr:twoCellAnchor>
  <xdr:twoCellAnchor>
    <xdr:from>
      <xdr:col>40</xdr:col>
      <xdr:colOff>0</xdr:colOff>
      <xdr:row>11</xdr:row>
      <xdr:rowOff>0</xdr:rowOff>
    </xdr:from>
    <xdr:to>
      <xdr:col>117</xdr:col>
      <xdr:colOff>0</xdr:colOff>
      <xdr:row>14</xdr:row>
      <xdr:rowOff>0</xdr:rowOff>
    </xdr:to>
    <xdr:sp>
      <xdr:nvSpPr>
        <xdr:cNvPr id="11" name="テキスト 62"/>
        <xdr:cNvSpPr txBox="1">
          <a:spLocks noChangeArrowheads="1"/>
        </xdr:cNvSpPr>
      </xdr:nvSpPr>
      <xdr:spPr>
        <a:xfrm>
          <a:off x="2667000" y="628650"/>
          <a:ext cx="5133975" cy="171450"/>
        </a:xfrm>
        <a:prstGeom prst="rect">
          <a:avLst/>
        </a:prstGeom>
        <a:solidFill>
          <a:srgbClr val="808080"/>
        </a:solidFill>
        <a:ln w="17145" cmpd="sng">
          <a:solidFill>
            <a:srgbClr val="000080"/>
          </a:solidFill>
          <a:headEnd type="none"/>
          <a:tailEnd type="none"/>
        </a:ln>
      </xdr:spPr>
      <xdr:txBody>
        <a:bodyPr vertOverflow="clip" wrap="square"/>
        <a:p>
          <a:pPr algn="l">
            <a:defRPr/>
          </a:pPr>
          <a:r>
            <a:rPr lang="en-US" cap="none" sz="1100" b="0" i="0" u="none" baseline="0">
              <a:solidFill>
                <a:srgbClr val="FFFF99"/>
              </a:solidFill>
              <a:latin typeface="明朝"/>
              <a:ea typeface="明朝"/>
              <a:cs typeface="明朝"/>
            </a:rPr>
            <a:t> ↓ 諸元を入力後、次の局(波)を入力するときはこの矢印[→］を押す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126</xdr:col>
      <xdr:colOff>0</xdr:colOff>
      <xdr:row>59</xdr:row>
      <xdr:rowOff>0</xdr:rowOff>
    </xdr:to>
    <xdr:sp>
      <xdr:nvSpPr>
        <xdr:cNvPr id="1" name="TXT"/>
        <xdr:cNvSpPr txBox="1">
          <a:spLocks noChangeArrowheads="1"/>
        </xdr:cNvSpPr>
      </xdr:nvSpPr>
      <xdr:spPr>
        <a:xfrm>
          <a:off x="1000125" y="457200"/>
          <a:ext cx="7400925"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明朝"/>
              <a:ea typeface="明朝"/>
              <a:cs typeface="明朝"/>
            </a:rPr>
            <a:t>　本マクロプロシージャー（プログラム）は、陸上に開設する一般的な無線局の電波強度が基準値に適合するかを確認するプログラムです。
　したがって、水面反射や回転する空中線等には対応しておりません。（空中線の種類による算出は、コリニアアレイと開口面空中線のみをサポートしています。また、漏洩ケーブルの場合については［ﾜｰｸｼｰﾄで計算］でサポートしています。）
  本マクロプロシージャーに関するお問い合わせ等については､作成者にご連絡ください｡
＜使用環境について＞
　この［使用上の注意］をご覧になられている環境（ＭＳ－Excel 5.0以上）であれば、使用可能です。ただし、ＭＳ－Excel97 以上のバージョンで使用の後、そのバージョンで上書き保存した場合、それ以降にＭＳ－Excel 95以前のバージョンでは動作しなくなる可能性があります。
＜使用方法について＞
  このマクロプロシージャーはできるだけわかりやすく作成したつもりです｡そのため､取扱説明書等は作成していません｡以下、ＭＥＮＵシートで選択する各算出方法について、説明します。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126</xdr:col>
      <xdr:colOff>0</xdr:colOff>
      <xdr:row>69</xdr:row>
      <xdr:rowOff>0</xdr:rowOff>
    </xdr:to>
    <xdr:sp>
      <xdr:nvSpPr>
        <xdr:cNvPr id="1" name="TXT"/>
        <xdr:cNvSpPr txBox="1">
          <a:spLocks noChangeArrowheads="1"/>
        </xdr:cNvSpPr>
      </xdr:nvSpPr>
      <xdr:spPr>
        <a:xfrm>
          <a:off x="1000125" y="457200"/>
          <a:ext cx="740092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明朝"/>
              <a:ea typeface="明朝"/>
              <a:cs typeface="明朝"/>
            </a:rPr>
            <a:t>＜使用方法について（つづき）＞
　［基本…］は、算出パラメータを入力後に計算矢印を押すと、大地面反射を考慮した計算結果と考慮しない計算結果を表示します。
　［単独…］は、無線局の諸元及び各方向の立入可能距離を入力して計算開始ボタンを押すと、算出結果を表示します。この際に、基本算出式による結果が基準値を満たしていない場合、空中線の指向性係数を入力していると指向性を考慮した算出結果、空中線を選択しているとその空中線による算出結果を表示します。(いずれの結果も基準値を満たしていない場合は、空間的平均値を算出します。）この算出結果については、印刷データより画面データの方が詳細な場合があります。
　［複数…］は、左上部のスクロールバーにより複数の算出パラメータを入力し計算開始＆結果印刷ボタンを押すと、１つの地点における複数の無線局 or 複数の周波数の電波の強さ及び総合判定結果を印刷します。この算出方法における名前(Name)の入力項目は、入力データの区分に利用できるようにされたもので、計算結果に影響を与えません（入力しなくても計算できます）。
　［単独…］及び［複数…］で空中線を選択した場合、最大空中線長を入力しないと算出結果が表示されません。空中線を選択した場合は、必ず最大空中線長（開口面空中線の場合は開口面面積を含む）を入力してください。
　なお、［基本…］の場合は［算出結果の印刷］ボタンを押下すると印刷を開始しますが、それ以外の場合は印刷プレビューが表示されます。ページ数等を確認の後、［印刷 (T)...］ボタンを押して印刷を開始してください。これは、不要な印刷を防ぐための処理です。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126</xdr:col>
      <xdr:colOff>0</xdr:colOff>
      <xdr:row>42</xdr:row>
      <xdr:rowOff>0</xdr:rowOff>
    </xdr:to>
    <xdr:sp>
      <xdr:nvSpPr>
        <xdr:cNvPr id="1" name="TXT"/>
        <xdr:cNvSpPr txBox="1">
          <a:spLocks noChangeArrowheads="1"/>
        </xdr:cNvSpPr>
      </xdr:nvSpPr>
      <xdr:spPr>
        <a:xfrm>
          <a:off x="1000125" y="457200"/>
          <a:ext cx="740092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明朝"/>
              <a:ea typeface="明朝"/>
              <a:cs typeface="明朝"/>
            </a:rPr>
            <a:t>
＜著作権について＞
　このマクロプロシージャーは、フリーウェアです。ご自由に転記・配布・改修していただいてかまいません。ただし、作成者個人を保護するため、改修した場合には作成者に連絡＆改修者名をこのTextBoxに記載した後に配布するようにお願いいたします。
                                               　                               所　属：九州総合通信局
                                       　　         　　　                                作成者：植野智興､坂本啓朗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0</xdr:rowOff>
    </xdr:from>
    <xdr:to>
      <xdr:col>91</xdr:col>
      <xdr:colOff>0</xdr:colOff>
      <xdr:row>65</xdr:row>
      <xdr:rowOff>0</xdr:rowOff>
    </xdr:to>
    <xdr:sp>
      <xdr:nvSpPr>
        <xdr:cNvPr id="1" name="テキスト 4"/>
        <xdr:cNvSpPr txBox="1">
          <a:spLocks noChangeArrowheads="1"/>
        </xdr:cNvSpPr>
      </xdr:nvSpPr>
      <xdr:spPr>
        <a:xfrm>
          <a:off x="1666875" y="342900"/>
          <a:ext cx="4400550" cy="3371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明朝"/>
              <a:ea typeface="明朝"/>
              <a:cs typeface="明朝"/>
            </a:rPr>
            <a:t>Ｖｅｒ２．０(1999/11/24)</a:t>
          </a:r>
          <a:r>
            <a:rPr lang="en-US" cap="none" sz="1000" b="0" i="0" u="none" baseline="0">
              <a:latin typeface="明朝"/>
              <a:ea typeface="明朝"/>
              <a:cs typeface="明朝"/>
            </a:rPr>
            <a:t>
　［単独…］の算出結果を出力した際に、不要な数字が印字されるバグを解消し、あわせてバージョン情報を表記するようにした。
</a:t>
          </a:r>
          <a:r>
            <a:rPr lang="en-US" cap="none" sz="1000" b="1" i="0" u="none" baseline="0">
              <a:solidFill>
                <a:srgbClr val="0000FF"/>
              </a:solidFill>
              <a:latin typeface="明朝"/>
              <a:ea typeface="明朝"/>
              <a:cs typeface="明朝"/>
            </a:rPr>
            <a:t>Ｖｅｒ１．３</a:t>
          </a:r>
          <a:r>
            <a:rPr lang="en-US" cap="none" sz="1000" b="0" i="0" u="none" baseline="0">
              <a:latin typeface="明朝"/>
              <a:ea typeface="明朝"/>
              <a:cs typeface="明朝"/>
            </a:rPr>
            <a:t>
　［複数…］の入力ダイアログに、次の局（波）の入力を促すコメントを追記した。
</a:t>
          </a:r>
          <a:r>
            <a:rPr lang="en-US" cap="none" sz="1000" b="1" i="0" u="none" baseline="0">
              <a:solidFill>
                <a:srgbClr val="0000FF"/>
              </a:solidFill>
              <a:latin typeface="明朝"/>
              <a:ea typeface="明朝"/>
              <a:cs typeface="明朝"/>
            </a:rPr>
            <a:t>Ｖｅｒ１．２</a:t>
          </a:r>
          <a:r>
            <a:rPr lang="en-US" cap="none" sz="1000" b="0" i="0" u="none" baseline="0">
              <a:latin typeface="明朝"/>
              <a:ea typeface="明朝"/>
              <a:cs typeface="明朝"/>
            </a:rPr>
            <a:t>
　MS-Excel 5.0において、シート保護によりプログラムが動作不良となるバグを、シート保護を解除することにより解消した。
</a:t>
          </a:r>
          <a:r>
            <a:rPr lang="en-US" cap="none" sz="1000" b="1" i="0" u="none" baseline="0">
              <a:solidFill>
                <a:srgbClr val="0000FF"/>
              </a:solidFill>
              <a:latin typeface="明朝"/>
              <a:ea typeface="明朝"/>
              <a:cs typeface="明朝"/>
            </a:rPr>
            <a:t>Ｖｅｒ１．１　･･･配布版</a:t>
          </a:r>
          <a:r>
            <a:rPr lang="en-US" cap="none" sz="1000" b="0" i="0" u="none" baseline="0">
              <a:latin typeface="明朝"/>
              <a:ea typeface="明朝"/>
              <a:cs typeface="明朝"/>
            </a:rPr>
            <a:t>
　［基本…］の入力ダイアログに、データ入力後に計算ボタン（矢印）のクリックを促すためのコメントを追記した。
</a:t>
          </a:r>
          <a:r>
            <a:rPr lang="en-US" cap="none" sz="1000" b="1" i="0" u="none" baseline="0">
              <a:solidFill>
                <a:srgbClr val="0000FF"/>
              </a:solidFill>
              <a:latin typeface="明朝"/>
              <a:ea typeface="明朝"/>
              <a:cs typeface="明朝"/>
            </a:rPr>
            <a:t>Ｖｅｒ１．０</a:t>
          </a:r>
          <a:r>
            <a:rPr lang="en-US" cap="none" sz="1000" b="0" i="0" u="none" baseline="0">
              <a:latin typeface="明朝"/>
              <a:ea typeface="明朝"/>
              <a:cs typeface="明朝"/>
            </a:rPr>
            <a:t>
　初期開発完了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1:E22"/>
  <sheetViews>
    <sheetView tabSelected="1" zoomScalePageLayoutView="0" workbookViewId="0" topLeftCell="A1">
      <selection activeCell="F18" sqref="F18"/>
    </sheetView>
  </sheetViews>
  <sheetFormatPr defaultColWidth="8.796875" defaultRowHeight="14.25"/>
  <cols>
    <col min="1" max="1" width="9" style="1" customWidth="1"/>
    <col min="2" max="2" width="40.09765625" style="1" customWidth="1"/>
    <col min="3" max="3" width="12.5" style="1" customWidth="1"/>
    <col min="4" max="4" width="7.59765625" style="5" customWidth="1"/>
    <col min="5" max="5" width="10.09765625" style="1" customWidth="1"/>
    <col min="6" max="16384" width="9" style="1" customWidth="1"/>
  </cols>
  <sheetData>
    <row r="1" ht="13.5">
      <c r="B1" s="1" t="s">
        <v>0</v>
      </c>
    </row>
    <row r="2" spans="2:4" ht="13.5">
      <c r="B2" s="8" t="s">
        <v>1</v>
      </c>
      <c r="C2" s="8" t="s">
        <v>2</v>
      </c>
      <c r="D2" s="8" t="s">
        <v>3</v>
      </c>
    </row>
    <row r="3" spans="2:5" ht="13.5">
      <c r="B3" s="2" t="s">
        <v>4</v>
      </c>
      <c r="C3" s="9"/>
      <c r="D3" s="6" t="s">
        <v>5</v>
      </c>
      <c r="E3" s="16"/>
    </row>
    <row r="4" spans="2:5" ht="13.5">
      <c r="B4" s="2" t="s">
        <v>6</v>
      </c>
      <c r="C4" s="12"/>
      <c r="D4" s="6" t="s">
        <v>7</v>
      </c>
      <c r="E4" s="17"/>
    </row>
    <row r="5" spans="2:5" ht="13.5">
      <c r="B5" s="2" t="s">
        <v>8</v>
      </c>
      <c r="C5" s="13"/>
      <c r="D5" s="6" t="s">
        <v>9</v>
      </c>
      <c r="E5" s="18"/>
    </row>
    <row r="6" spans="2:5" ht="13.5">
      <c r="B6" s="2" t="s">
        <v>10</v>
      </c>
      <c r="C6" s="10" t="str">
        <f>IF(ISBLANK(C5)," ",C4/POWER(10,C5/10))</f>
        <v> </v>
      </c>
      <c r="D6" s="6" t="s">
        <v>7</v>
      </c>
      <c r="E6" s="19"/>
    </row>
    <row r="7" spans="2:5" ht="13.5">
      <c r="B7" s="2" t="s">
        <v>11</v>
      </c>
      <c r="C7" s="13"/>
      <c r="D7" s="6" t="s">
        <v>9</v>
      </c>
      <c r="E7" s="18"/>
    </row>
    <row r="8" spans="2:5" ht="13.5">
      <c r="B8" s="2" t="s">
        <v>12</v>
      </c>
      <c r="C8" s="11" t="str">
        <f>IF(ISBLANK(C7)," ",POWER(10,C7/10))</f>
        <v> </v>
      </c>
      <c r="D8" s="6" t="s">
        <v>13</v>
      </c>
      <c r="E8" s="15"/>
    </row>
    <row r="9" spans="2:5" ht="13.5">
      <c r="B9" s="2" t="s">
        <v>14</v>
      </c>
      <c r="C9" s="13"/>
      <c r="D9" s="6" t="s">
        <v>15</v>
      </c>
      <c r="E9" s="18"/>
    </row>
    <row r="10" spans="2:5" ht="13.5">
      <c r="B10" s="2" t="s">
        <v>16</v>
      </c>
      <c r="C10" s="14" t="str">
        <f>IF(ISBLANK(C9)," ",IF(C3&lt;76,4,2.56))</f>
        <v> </v>
      </c>
      <c r="D10" s="7"/>
      <c r="E10" s="15"/>
    </row>
    <row r="11" spans="2:5" ht="13.5">
      <c r="B11" s="2" t="s">
        <v>17</v>
      </c>
      <c r="C11" s="11" t="str">
        <f>IF(ISBLANK(C3)," ",IF(C3&lt;30,IF(C3&gt;3,824/C3,275)," "))</f>
        <v> </v>
      </c>
      <c r="D11" s="6" t="s">
        <v>18</v>
      </c>
      <c r="E11" s="15"/>
    </row>
    <row r="12" spans="2:5" ht="13.5">
      <c r="B12" s="2" t="s">
        <v>19</v>
      </c>
      <c r="C12" s="11" t="str">
        <f>IF(ISBLANK(C3)," ",IF(C3&lt;30," ",IF(AND(C3&gt;=30,C3&lt;300),0.2,IF(AND(C3&gt;=300,C3&lt;1500),C3/1500,1))))</f>
        <v> </v>
      </c>
      <c r="D12" s="6" t="s">
        <v>20</v>
      </c>
      <c r="E12" s="15"/>
    </row>
    <row r="13" spans="2:5" ht="13.5">
      <c r="B13" s="2" t="s">
        <v>21</v>
      </c>
      <c r="C13" s="11" t="str">
        <f>IF(ISBLANK(C9)," ",IF(C3&lt;30,SQRT(C6*C8*C10/40/PI()/C9/C9*3770)," "))</f>
        <v> </v>
      </c>
      <c r="D13" s="6" t="s">
        <v>18</v>
      </c>
      <c r="E13" s="15"/>
    </row>
    <row r="14" spans="2:5" ht="13.5">
      <c r="B14" s="2" t="s">
        <v>22</v>
      </c>
      <c r="C14" s="11" t="str">
        <f>IF(ISBLANK(C9)," ",IF(C3&lt;30," ",IF(AND(C3&gt;=30,C3&lt;76),C6*C8*C10/40/PI()/C9/C9,C6*C8*C10/40/PI()/C9/C9)))</f>
        <v> </v>
      </c>
      <c r="D14" s="6" t="s">
        <v>20</v>
      </c>
      <c r="E14" s="15"/>
    </row>
    <row r="15" spans="2:5" ht="13.5">
      <c r="B15" s="2" t="s">
        <v>23</v>
      </c>
      <c r="C15" s="11" t="str">
        <f>IF(ISBLANK(C9)," ",IF(C3&lt;30,SQRT(C6*C8/40/PI()/C9/C9*3770)," "))</f>
        <v> </v>
      </c>
      <c r="D15" s="6" t="s">
        <v>18</v>
      </c>
      <c r="E15" s="15"/>
    </row>
    <row r="16" spans="2:5" ht="13.5">
      <c r="B16" s="2" t="s">
        <v>24</v>
      </c>
      <c r="C16" s="11" t="str">
        <f>IF(ISBLANK(C9)," ",IF(C3&gt;=30,C6*C8/40/PI()/C9/C9," "))</f>
        <v> </v>
      </c>
      <c r="D16" s="6" t="s">
        <v>20</v>
      </c>
      <c r="E16" s="15"/>
    </row>
    <row r="17" spans="2:5" ht="13.5">
      <c r="B17" s="2" t="s">
        <v>25</v>
      </c>
      <c r="C17" s="11" t="str">
        <f>IF(ISBLANK(C7)," ",IF(C3&lt;30,SQRT(C6*C8*C10*3770/40/PI()/C11/C11),SQRT(C6*C8*C10/40/PI()/C12)))</f>
        <v> </v>
      </c>
      <c r="D17" s="6" t="s">
        <v>15</v>
      </c>
      <c r="E17" s="15"/>
    </row>
    <row r="18" spans="2:5" ht="13.5">
      <c r="B18" s="2" t="s">
        <v>26</v>
      </c>
      <c r="C18" s="11" t="str">
        <f>IF(ISBLANK(C7)," ",IF(C3&lt;30,SQRT(C6*C8*3770/40/PI()/C11/C11),SQRT(C6*C8/40/PI()/C12)))</f>
        <v> </v>
      </c>
      <c r="D18" s="6" t="s">
        <v>15</v>
      </c>
      <c r="E18" s="15"/>
    </row>
    <row r="19" spans="2:4" ht="13.5">
      <c r="B19" s="2" t="s">
        <v>27</v>
      </c>
      <c r="C19" s="4" t="str">
        <f>IF(ISBLANK(C9)," ",IF(C3&lt;30,IF(C11&gt;C13,"○","×"),IF(AND(C3&gt;=30,C3&lt;76),IF(C12&gt;C14,"○","×"),IF(AND(C3&gt;=76,C3&lt;300),IF(C12&gt;C14,"○","×"),IF(AND(C3&gt;=300,C3&lt;1500),IF(C12&gt;C14,"○","×"),IF(C3&gt;=1500,IF(C12&gt;C14,"○","×")))))))</f>
        <v> </v>
      </c>
      <c r="D19" s="6"/>
    </row>
    <row r="20" spans="2:4" ht="13.5">
      <c r="B20" s="2" t="s">
        <v>28</v>
      </c>
      <c r="C20" s="4" t="str">
        <f>IF(ISBLANK(C9)," ",IF(C3&lt;30,IF(C11&gt;C15,"○","×"),IF(AND(C3&gt;=30,C3&lt;300),IF(C12&gt;C16,"○","×"),IF(AND(C3&gt;=300,C3&lt;1500),IF(C12&gt;C16,"○","×"),IF(C3&gt;=1500,IF(C12&gt;C16,"○","×"))))))</f>
        <v> </v>
      </c>
      <c r="D20" s="6"/>
    </row>
    <row r="21" ht="13.5">
      <c r="B21" s="3" t="s">
        <v>29</v>
      </c>
    </row>
    <row r="22" ht="13.5">
      <c r="B22" s="1" t="s">
        <v>30</v>
      </c>
    </row>
  </sheetData>
  <sheetProtection/>
  <printOptions/>
  <pageMargins left="0.7874015748031497" right="0.7874015748031497" top="0.984251968503937" bottom="0.984251968503937" header="0.5118110236220472" footer="0.5118110236220472"/>
  <pageSetup orientation="landscape" paperSize="9" r:id="rId2"/>
  <headerFooter alignWithMargins="0">
    <oddHeader>&amp;C&amp;"ＭＳ ゴシック,標準"&amp;A</oddHeader>
  </headerFooter>
  <legacyDrawing r:id="rId1"/>
</worksheet>
</file>

<file path=xl/worksheets/sheet10.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password="D647" sheet="1" objects="1" scenarios="1"/>
  <printOptions/>
  <pageMargins left="0.75" right="0.75" top="1" bottom="1" header="0.512" footer="0.512"/>
  <pageSetup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12" footer="0.512"/>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 footer="0.5"/>
  <pageSetup orientation="portrait" paperSize="9"/>
  <headerFooter alignWithMargins="0">
    <oddHeader>&amp;C&amp;A</oddHeader>
    <oddFooter>&amp;C- &amp;P -</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8.796875" defaultRowHeight="14.25"/>
  <cols>
    <col min="1" max="1" width="11" style="0" customWidth="1"/>
    <col min="3" max="3" width="9" style="51" customWidth="1"/>
    <col min="4" max="4" width="12.09765625" style="53" customWidth="1"/>
    <col min="11" max="11" width="4" style="0" customWidth="1"/>
  </cols>
  <sheetData>
    <row r="1" spans="1:14" ht="13.5">
      <c r="A1" t="s">
        <v>101</v>
      </c>
      <c r="B1" s="81">
        <v>3</v>
      </c>
      <c r="C1" s="51" t="s">
        <v>102</v>
      </c>
      <c r="D1" s="82">
        <v>28.5</v>
      </c>
      <c r="F1" t="s">
        <v>103</v>
      </c>
      <c r="G1" s="51" t="s">
        <v>104</v>
      </c>
      <c r="H1" s="51" t="s">
        <v>105</v>
      </c>
      <c r="I1" t="s">
        <v>106</v>
      </c>
      <c r="K1" s="55" t="s">
        <v>107</v>
      </c>
      <c r="L1" s="55" t="s">
        <v>108</v>
      </c>
      <c r="M1" s="55" t="s">
        <v>109</v>
      </c>
      <c r="N1" s="55" t="s">
        <v>110</v>
      </c>
    </row>
    <row r="2" spans="1:14" ht="13.5">
      <c r="A2" t="s">
        <v>111</v>
      </c>
      <c r="B2" s="81">
        <v>1</v>
      </c>
      <c r="C2" s="51" t="s">
        <v>4</v>
      </c>
      <c r="D2" s="53">
        <f>IF(B2=1,D1,D1/1000)</f>
        <v>28.5</v>
      </c>
      <c r="F2">
        <v>0</v>
      </c>
      <c r="G2" s="81" t="b">
        <v>0</v>
      </c>
      <c r="H2" s="81" t="b">
        <v>1</v>
      </c>
      <c r="I2" s="81" t="b">
        <v>1</v>
      </c>
      <c r="K2">
        <v>0.1</v>
      </c>
      <c r="L2">
        <f>SQRT(($D$7-K2)^2+$D$8^2)</f>
        <v>13.5</v>
      </c>
      <c r="M2">
        <f>IF(L2=0,"",IF($D$2&gt;30,$D$15*$D$17/(40*PI()*L2^2)*IF($D$10,1,$D$19)*IF($D$11,10^0.6,1),SQRT($D$15*$D$17/(40*PI()*L2^2)*IF($D$10,1,$D$19)*3770)*IF($D$11,10^0.3,1)))</f>
        <v>18.610025680604206</v>
      </c>
      <c r="N2">
        <f>IF(M2="","",M2*IF($B$16,10^(-1*$D$12/10),$D$12))</f>
        <v>316.3704365702715</v>
      </c>
    </row>
    <row r="3" spans="1:14" ht="13.5">
      <c r="A3" t="s">
        <v>5</v>
      </c>
      <c r="C3" s="51" t="s">
        <v>112</v>
      </c>
      <c r="D3" s="82">
        <v>500</v>
      </c>
      <c r="F3">
        <v>45</v>
      </c>
      <c r="G3" s="81" t="b">
        <v>0</v>
      </c>
      <c r="H3" s="81" t="b">
        <v>0</v>
      </c>
      <c r="I3" s="81" t="b">
        <v>1</v>
      </c>
      <c r="K3">
        <v>0.2</v>
      </c>
      <c r="L3">
        <f aca="true" t="shared" si="0" ref="L3:L18">SQRT(($D$7-K3)^2+$D$8^2)</f>
        <v>13.4</v>
      </c>
      <c r="M3">
        <f aca="true" t="shared" si="1" ref="M3:M18">IF(L3=0,"",IF($D$2&gt;30,$D$15*$D$17/(40*PI()*L3^2)*IF($D$10,1,$D$19)*IF($D$11,10^0.6,1),SQRT($D$15*$D$17/(40*PI()*L3^2)*IF($D$10,1,$D$19)*3770)*IF($D$11,10^0.3,1)))</f>
        <v>18.74890646926543</v>
      </c>
      <c r="N3">
        <f aca="true" t="shared" si="2" ref="N3:N18">IF(M3="","",M3*IF($B$16,10^(-1*$D$12/10),$D$12))</f>
        <v>318.7314099775123</v>
      </c>
    </row>
    <row r="4" spans="1:14" ht="13.5">
      <c r="A4" t="s">
        <v>113</v>
      </c>
      <c r="C4" s="51" t="s">
        <v>114</v>
      </c>
      <c r="D4" s="53">
        <f>IF(B5=1,D3,D3/1000)</f>
        <v>500</v>
      </c>
      <c r="F4">
        <v>90</v>
      </c>
      <c r="G4" s="81" t="b">
        <v>0</v>
      </c>
      <c r="H4" s="81" t="b">
        <v>0</v>
      </c>
      <c r="I4" s="81" t="b">
        <v>1</v>
      </c>
      <c r="K4">
        <v>0.3</v>
      </c>
      <c r="L4">
        <f t="shared" si="0"/>
        <v>13.299999999999999</v>
      </c>
      <c r="M4">
        <f t="shared" si="1"/>
        <v>18.88987569083886</v>
      </c>
      <c r="N4">
        <f t="shared" si="2"/>
        <v>321.1278867442606</v>
      </c>
    </row>
    <row r="5" spans="1:14" ht="13.5">
      <c r="A5" t="s">
        <v>115</v>
      </c>
      <c r="B5" s="81">
        <v>1</v>
      </c>
      <c r="C5" s="51" t="s">
        <v>116</v>
      </c>
      <c r="D5" s="82">
        <v>0.22</v>
      </c>
      <c r="F5">
        <v>135</v>
      </c>
      <c r="G5" s="81" t="b">
        <v>0</v>
      </c>
      <c r="H5" s="81" t="b">
        <v>0</v>
      </c>
      <c r="I5" s="81" t="b">
        <v>1</v>
      </c>
      <c r="K5">
        <v>0.4</v>
      </c>
      <c r="L5">
        <f t="shared" si="0"/>
        <v>13.2</v>
      </c>
      <c r="M5">
        <f t="shared" si="1"/>
        <v>19.03298080970885</v>
      </c>
      <c r="N5">
        <f t="shared" si="2"/>
        <v>323.56067376505047</v>
      </c>
    </row>
    <row r="6" spans="1:14" ht="13.5">
      <c r="A6" t="s">
        <v>7</v>
      </c>
      <c r="C6" s="51" t="s">
        <v>117</v>
      </c>
      <c r="D6" s="82">
        <v>0</v>
      </c>
      <c r="F6">
        <v>180</v>
      </c>
      <c r="G6" s="81" t="b">
        <v>0</v>
      </c>
      <c r="H6" s="81" t="b">
        <v>0</v>
      </c>
      <c r="I6" s="81" t="b">
        <v>1</v>
      </c>
      <c r="K6">
        <v>0.5</v>
      </c>
      <c r="L6">
        <f t="shared" si="0"/>
        <v>13.1</v>
      </c>
      <c r="M6">
        <f t="shared" si="1"/>
        <v>19.178270739553952</v>
      </c>
      <c r="N6">
        <f t="shared" si="2"/>
        <v>326.0306025724172</v>
      </c>
    </row>
    <row r="7" spans="1:14" ht="13.5">
      <c r="A7" t="s">
        <v>118</v>
      </c>
      <c r="C7" s="51" t="s">
        <v>119</v>
      </c>
      <c r="D7" s="82">
        <v>13.6</v>
      </c>
      <c r="F7">
        <v>225</v>
      </c>
      <c r="G7" s="81" t="b">
        <v>0</v>
      </c>
      <c r="H7" s="81" t="b">
        <v>0</v>
      </c>
      <c r="I7" s="81" t="b">
        <v>1</v>
      </c>
      <c r="K7">
        <v>0.6</v>
      </c>
      <c r="L7">
        <f t="shared" si="0"/>
        <v>13</v>
      </c>
      <c r="M7">
        <f t="shared" si="1"/>
        <v>19.325795899088984</v>
      </c>
      <c r="N7">
        <f t="shared" si="2"/>
        <v>328.5385302845127</v>
      </c>
    </row>
    <row r="8" spans="1:14" ht="13.5">
      <c r="A8" t="s">
        <v>120</v>
      </c>
      <c r="B8" s="81">
        <v>1</v>
      </c>
      <c r="C8" s="51" t="s">
        <v>121</v>
      </c>
      <c r="D8" s="82">
        <v>0</v>
      </c>
      <c r="F8">
        <v>270</v>
      </c>
      <c r="G8" s="81" t="b">
        <v>0</v>
      </c>
      <c r="H8" s="81" t="b">
        <v>0</v>
      </c>
      <c r="I8" s="81" t="b">
        <v>1</v>
      </c>
      <c r="K8">
        <v>0.7</v>
      </c>
      <c r="L8">
        <f t="shared" si="0"/>
        <v>12.9</v>
      </c>
      <c r="M8">
        <f t="shared" si="1"/>
        <v>19.475608270399754</v>
      </c>
      <c r="N8">
        <f t="shared" si="2"/>
        <v>331.0853405967958</v>
      </c>
    </row>
    <row r="9" spans="1:14" ht="13.5">
      <c r="A9" t="s">
        <v>122</v>
      </c>
      <c r="C9" s="51" t="s">
        <v>123</v>
      </c>
      <c r="D9" s="53">
        <f>IF(OR(B8=2,VALUE(D7)&lt;2),D8,SQRT((D7-2)^2+D8^2))</f>
        <v>11.6</v>
      </c>
      <c r="F9">
        <v>315</v>
      </c>
      <c r="G9" s="81" t="b">
        <v>0</v>
      </c>
      <c r="H9" s="81" t="b">
        <v>0</v>
      </c>
      <c r="I9" s="81" t="b">
        <v>1</v>
      </c>
      <c r="K9">
        <v>0.8</v>
      </c>
      <c r="L9">
        <f t="shared" si="0"/>
        <v>12.799999999999999</v>
      </c>
      <c r="M9">
        <f t="shared" si="1"/>
        <v>19.627761460012252</v>
      </c>
      <c r="N9">
        <f t="shared" si="2"/>
        <v>333.6719448202083</v>
      </c>
    </row>
    <row r="10" spans="1:14" ht="13.5">
      <c r="A10" t="s">
        <v>124</v>
      </c>
      <c r="C10" s="51" t="s">
        <v>105</v>
      </c>
      <c r="D10" s="82" t="b">
        <v>0</v>
      </c>
      <c r="K10">
        <v>0.9</v>
      </c>
      <c r="L10">
        <f t="shared" si="0"/>
        <v>12.7</v>
      </c>
      <c r="M10">
        <f t="shared" si="1"/>
        <v>19.78231076284699</v>
      </c>
      <c r="N10">
        <f t="shared" si="2"/>
        <v>336.2992829683988</v>
      </c>
    </row>
    <row r="11" spans="1:14" ht="13.5">
      <c r="A11" t="s">
        <v>125</v>
      </c>
      <c r="B11" s="81">
        <v>1</v>
      </c>
      <c r="C11" s="51" t="s">
        <v>104</v>
      </c>
      <c r="D11" s="82" t="b">
        <v>0</v>
      </c>
      <c r="K11">
        <v>1</v>
      </c>
      <c r="L11">
        <f t="shared" si="0"/>
        <v>12.6</v>
      </c>
      <c r="M11">
        <f t="shared" si="1"/>
        <v>19.939313229218794</v>
      </c>
      <c r="N11">
        <f t="shared" si="2"/>
        <v>338.9683248967195</v>
      </c>
    </row>
    <row r="12" spans="1:14" ht="13.5">
      <c r="A12" t="s">
        <v>126</v>
      </c>
      <c r="B12" s="81">
        <v>0</v>
      </c>
      <c r="C12" s="51" t="s">
        <v>127</v>
      </c>
      <c r="D12" s="82">
        <v>17</v>
      </c>
      <c r="E12">
        <f>IF(B16,10^(-1*D12/10),D12)</f>
        <v>17</v>
      </c>
      <c r="K12">
        <v>1.1</v>
      </c>
      <c r="L12">
        <f t="shared" si="0"/>
        <v>12.5</v>
      </c>
      <c r="M12">
        <f t="shared" si="1"/>
        <v>20.09882773505254</v>
      </c>
      <c r="N12">
        <f t="shared" si="2"/>
        <v>341.68007149589323</v>
      </c>
    </row>
    <row r="13" spans="1:14" ht="13.5">
      <c r="A13" t="s">
        <v>128</v>
      </c>
      <c r="C13" s="51" t="s">
        <v>129</v>
      </c>
      <c r="D13" s="82"/>
      <c r="K13">
        <v>1.2</v>
      </c>
      <c r="L13">
        <f t="shared" si="0"/>
        <v>12.4</v>
      </c>
      <c r="M13">
        <f t="shared" si="1"/>
        <v>20.260915055496515</v>
      </c>
      <c r="N13">
        <f t="shared" si="2"/>
        <v>344.43555594344076</v>
      </c>
    </row>
    <row r="14" spans="1:14" ht="13.5">
      <c r="A14" t="s">
        <v>130</v>
      </c>
      <c r="C14" s="51" t="s">
        <v>131</v>
      </c>
      <c r="D14" s="82"/>
      <c r="K14">
        <v>1.3</v>
      </c>
      <c r="L14">
        <f t="shared" si="0"/>
        <v>12.299999999999999</v>
      </c>
      <c r="M14">
        <f t="shared" si="1"/>
        <v>20.42563794212657</v>
      </c>
      <c r="N14">
        <f t="shared" si="2"/>
        <v>347.2358450161517</v>
      </c>
    </row>
    <row r="15" spans="1:14" ht="13.5">
      <c r="A15" t="s">
        <v>132</v>
      </c>
      <c r="B15" s="81">
        <v>1</v>
      </c>
      <c r="C15" s="51" t="s">
        <v>133</v>
      </c>
      <c r="D15" s="53">
        <f>D4/(10^(D6/10))</f>
        <v>500</v>
      </c>
      <c r="K15">
        <v>1.4</v>
      </c>
      <c r="L15">
        <f t="shared" si="0"/>
        <v>12.2</v>
      </c>
      <c r="M15">
        <f t="shared" si="1"/>
        <v>20.59306120394728</v>
      </c>
      <c r="N15">
        <f t="shared" si="2"/>
        <v>350.08204046710375</v>
      </c>
    </row>
    <row r="16" spans="1:14" ht="13.5">
      <c r="A16" t="s">
        <v>106</v>
      </c>
      <c r="B16" s="81" t="b">
        <v>0</v>
      </c>
      <c r="C16" s="51" t="s">
        <v>134</v>
      </c>
      <c r="D16" s="53">
        <f>D9</f>
        <v>11.6</v>
      </c>
      <c r="K16">
        <v>1.5</v>
      </c>
      <c r="L16">
        <f t="shared" si="0"/>
        <v>12.1</v>
      </c>
      <c r="M16">
        <f t="shared" si="1"/>
        <v>20.76325179240965</v>
      </c>
      <c r="N16">
        <f t="shared" si="2"/>
        <v>352.9752804709641</v>
      </c>
    </row>
    <row r="17" spans="1:14" ht="13.5">
      <c r="A17" t="s">
        <v>135</v>
      </c>
      <c r="B17">
        <f>COUNTIF('P3'!B:B,"&gt;0")</f>
        <v>0</v>
      </c>
      <c r="C17" s="51" t="s">
        <v>136</v>
      </c>
      <c r="D17" s="53">
        <f>10^(D5/10)</f>
        <v>1.0519618738232228</v>
      </c>
      <c r="K17">
        <v>1.6</v>
      </c>
      <c r="L17">
        <f t="shared" si="0"/>
        <v>12</v>
      </c>
      <c r="M17">
        <f t="shared" si="1"/>
        <v>20.93627889067973</v>
      </c>
      <c r="N17">
        <f t="shared" si="2"/>
        <v>355.9167411415554</v>
      </c>
    </row>
    <row r="18" spans="1:14" ht="13.5">
      <c r="A18" t="s">
        <v>137</v>
      </c>
      <c r="B18" s="81">
        <v>1</v>
      </c>
      <c r="C18" s="51" t="s">
        <v>138</v>
      </c>
      <c r="D18" s="53" t="e">
        <f>D17*D20^2/((PI()*D13)^2)</f>
        <v>#DIV/0!</v>
      </c>
      <c r="K18">
        <v>1.7</v>
      </c>
      <c r="L18">
        <f t="shared" si="0"/>
        <v>11.9</v>
      </c>
      <c r="M18">
        <f t="shared" si="1"/>
        <v>21.11221400740813</v>
      </c>
      <c r="N18">
        <f t="shared" si="2"/>
        <v>358.9076381259382</v>
      </c>
    </row>
    <row r="19" spans="1:14" ht="13.5">
      <c r="A19" t="s">
        <v>132</v>
      </c>
      <c r="B19" t="str">
        <f>IF(B15=1,"基本式",IF(B15=2,"指向考慮",IF(B12=1,"ｺﾘﾆｱｱﾚｲ","ﾊﾟﾗﾎﾞﾗ等")))</f>
        <v>基本式</v>
      </c>
      <c r="C19" s="51" t="s">
        <v>139</v>
      </c>
      <c r="D19" s="53">
        <f>IF(D2&lt;76,4,2.56)</f>
        <v>4</v>
      </c>
      <c r="K19">
        <v>1.8</v>
      </c>
      <c r="L19">
        <f>SQRT(($D$7-K19)^2+$D$8^2)</f>
        <v>11.799999999999999</v>
      </c>
      <c r="M19">
        <f>IF(L19=0,"",IF($D$2&gt;30,$D$15*$D$17/(40*PI()*L19^2)*IF($D$10,1,$D$19)*IF($D$11,10^0.6,1),SQRT($D$15*$D$17/(40*PI()*L19^2)*IF($D$10,1,$D$19)*3770)*IF($D$11,10^0.3,1)))</f>
        <v>21.291131075267526</v>
      </c>
      <c r="N19">
        <f>IF(M19="","",M19*IF($B$16,10^(-1*$D$12/10),$D$12))</f>
        <v>361.9492282795479</v>
      </c>
    </row>
    <row r="20" spans="1:14" ht="13.5">
      <c r="A20" t="s">
        <v>126</v>
      </c>
      <c r="B20" s="81">
        <v>3</v>
      </c>
      <c r="C20" s="51" t="s">
        <v>140</v>
      </c>
      <c r="D20" s="53">
        <f>IF(D2=0,"",300/D2)</f>
        <v>10.526315789473685</v>
      </c>
      <c r="K20">
        <v>1.9</v>
      </c>
      <c r="L20">
        <f>SQRT(($D$7-K20)^2+$D$8^2)</f>
        <v>11.7</v>
      </c>
      <c r="M20">
        <f>IF(L20=0,"",IF($D$2&gt;30,$D$15*$D$17/(40*PI()*L20^2)*IF($D$10,1,$D$19)*IF($D$11,10^0.6,1),SQRT($D$15*$D$17/(40*PI()*L20^2)*IF($D$10,1,$D$19)*3770)*IF($D$11,10^0.3,1)))</f>
        <v>21.473106554543318</v>
      </c>
      <c r="N20">
        <f>IF(M20="","",M20*IF($B$16,10^(-1*$D$12/10),$D$12))</f>
        <v>365.0428114272364</v>
      </c>
    </row>
    <row r="21" spans="1:14" ht="13.5">
      <c r="A21" t="s">
        <v>128</v>
      </c>
      <c r="C21" s="51" t="s">
        <v>141</v>
      </c>
      <c r="D21" s="53">
        <f>IF(D2&gt;1500,1,IF(D2&gt;300,D1/1500,IF(D2&gt;30,0.2,IF(D2&gt;3,824/D2,275))))</f>
        <v>28.912280701754387</v>
      </c>
      <c r="E21" t="str">
        <f>IF(D2&gt;30,"[mW/c㎡]","[V/m]")</f>
        <v>[V/m]</v>
      </c>
      <c r="K21">
        <v>2</v>
      </c>
      <c r="L21">
        <f>SQRT(($D$7-K21)^2+$D$8^2)</f>
        <v>11.6</v>
      </c>
      <c r="M21">
        <f>IF(L21=0,"",IF($D$2&gt;30,$D$15*$D$17/(40*PI()*L21^2)*IF($D$10,1,$D$19)*IF($D$11,10^0.6,1),SQRT($D$15*$D$17/(40*PI()*L21^2)*IF($D$10,1,$D$19)*3770)*IF($D$11,10^0.3,1)))</f>
        <v>21.65821954208248</v>
      </c>
      <c r="N21">
        <f>IF(M21="","",M21*IF($B$16,10^(-1*$D$12/10),$D$12))</f>
        <v>368.18973221540216</v>
      </c>
    </row>
    <row r="22" spans="1:14" ht="13.5">
      <c r="A22" t="s">
        <v>130</v>
      </c>
      <c r="C22" s="51" t="s">
        <v>142</v>
      </c>
      <c r="D22" s="53">
        <f>IF(D16=0,"",IF(D2&gt;30,D15*D17/(40*PI()*D16^2)*IF(D10,1,D19)*IF(D11,10^0.6,1),SQRT(D15*D17/(40*PI()*D16^2)*IF(D10,1,D19)*3770)*IF(D11,10^0.3,1)))</f>
        <v>21.65821954208248</v>
      </c>
      <c r="E22" t="str">
        <f>E21</f>
        <v>[V/m]</v>
      </c>
      <c r="F22" t="str">
        <f>IF(D22="","",IF(D22&gt;$D$21,"×","○"))</f>
        <v>○</v>
      </c>
      <c r="M22">
        <f>IF($D$2&lt;300,IF($D$2&gt;30,AVEDEV(M3,M5,M7,M9,M11,M13,M15,M17,M19,M21),SQRT(SUMSQ(M3,M5,M7,M9,M11,M13,M15,M17,M19,M21)/10)),AVERAGE(M2:M21))</f>
        <v>20.162799483292112</v>
      </c>
      <c r="N22">
        <f>IF($D$2&lt;300,IF($D$2&gt;30,AVEDEV(N3,N5,N7,N9,N11,N13,N15,N17,N19,N21),SQRT(SUMSQ(N3,N5,N7,N9,N11,N13,N15,N17,N19,N21)/10)),AVERAGE(N2:N21))</f>
        <v>342.76759121596587</v>
      </c>
    </row>
    <row r="23" spans="1:14" ht="13.5">
      <c r="A23" t="s">
        <v>143</v>
      </c>
      <c r="C23" s="51" t="s">
        <v>144</v>
      </c>
      <c r="D23" s="53">
        <f>IF(D22="","",SQRT(D15*D17/40/PI())*IF(D10,1,SQRT(D19))*IF(D11,SQRT(10^0.6),1)*IF(D2&gt;30,SQRT(1/D21),SQRT(3700)/D21))</f>
        <v>8.608521652636128</v>
      </c>
      <c r="E23" t="s">
        <v>145</v>
      </c>
      <c r="F23">
        <f>IF(D8=D9,"",IF(D7-2&gt;D23,0,SQRT(D23^2-(D7-2)^2)))</f>
        <v>0</v>
      </c>
      <c r="M23" t="str">
        <f>IF($D$2&gt;300,IF($D$2&gt;1000,IF(OR(LARGE(M2:M21,1)&gt;2,M22&gt;$D$21),"×","○"),IF(OR(LARGE(M2:M21,1)&gt;4,M22&gt;$D$21),"×","○")),IF($D$2&gt;30,IF($D$21&lt;M22,"×","○"),IF($D$21&lt;M22,"×","○")))</f>
        <v>○</v>
      </c>
      <c r="N23" t="str">
        <f>IF($D$2&gt;300,IF($D$2&gt;1000,IF(OR(LARGE(N2:N21,1)&gt;2,N22&gt;$D$21),"×","○"),IF(OR(LARGE(N2:N21,1)&gt;4,N22&gt;$D$21),"×","○")),IF($D$2&gt;30,IF($D$21&lt;N22,"×","○"),IF($D$21&lt;N22,"×","○")))</f>
        <v>×</v>
      </c>
    </row>
    <row r="24" spans="3:6" ht="13.5">
      <c r="C24" s="51" t="s">
        <v>110</v>
      </c>
      <c r="D24" s="53">
        <f>IF(D22="","",D22*IF(B16,10^(-1*D12/10),D12))</f>
        <v>368.18973221540216</v>
      </c>
      <c r="E24" t="str">
        <f>E21</f>
        <v>[V/m]</v>
      </c>
      <c r="F24" t="str">
        <f>IF(D24="","",IF(D24&gt;$D$21,"×","○"))</f>
        <v>×</v>
      </c>
    </row>
    <row r="25" spans="1:4" ht="13.5">
      <c r="A25" t="s">
        <v>146</v>
      </c>
      <c r="B25">
        <f>IF(F22="○",0,IF(AND(B20&lt;3,D16&lt;=D27,F24="×"),B20+1,IF(D12="",9,1)))</f>
        <v>0</v>
      </c>
      <c r="C25" s="51" t="s">
        <v>144</v>
      </c>
      <c r="D25" s="53">
        <f>IF(D23="","",D23*SQRT(IF(B16,10^(-1*D12/10),D12)))</f>
        <v>35.49384405423546</v>
      </c>
    </row>
    <row r="26" spans="2:6" ht="13.5">
      <c r="B26">
        <f>IF(B25=9,1,IF(F24="○",0,IF(AND(B20=1,F26="○"),0,IF(AND(B20=2,F29="○"),0,1))))</f>
        <v>1</v>
      </c>
      <c r="C26" s="51" t="s">
        <v>147</v>
      </c>
      <c r="D26" s="53">
        <f>IF(OR(D16=0,D13=""),"",IF(D16&gt;D27,"×",IF(D2&gt;30,D15/20/PI()/D16/D13*IF(D10,1,D19)*IF(D11,10^0.6,1),SQRT(D15/20/PI()/D16/D13*IF(D10,1,D19)*3770)*IF(D11,10^0.3,1))))</f>
      </c>
      <c r="E26" t="str">
        <f>E21</f>
        <v>[V/m]</v>
      </c>
      <c r="F26">
        <f>IF(D26="","",IF(D26&gt;$D$21,"×","○"))</f>
      </c>
    </row>
    <row r="27" spans="3:5" ht="13.5">
      <c r="C27" t="s">
        <v>148</v>
      </c>
      <c r="D27" s="53">
        <f>IF(D20="","",0.6*D13^2/D20)</f>
        <v>0</v>
      </c>
      <c r="E27" t="s">
        <v>149</v>
      </c>
    </row>
    <row r="28" spans="3:5" ht="13.5">
      <c r="C28" s="51" t="s">
        <v>144</v>
      </c>
      <c r="D28" s="53">
        <f>IF(OR(D13=0,D13=""),"",D15/20/PI()/D13*IF(D10,1,D19)*IF(D11,10^0.6,1)*IF(D2&gt;30,1/D21,3700/D21^2))</f>
      </c>
      <c r="E28" t="s">
        <v>145</v>
      </c>
    </row>
    <row r="29" spans="3:7" ht="13.5">
      <c r="C29" s="51" t="s">
        <v>150</v>
      </c>
      <c r="D29" s="53">
        <f>IF(D16=0,IF(D14^2=0,"",4*D15/10/D14),IF(OR(D13=0,D16=0,D20=0),"",IF(D1&gt;30,16*D18*D15/10/PI()/D13^2*IF(D10,1,D19)*IF(D11,10^0.6,1)*IF(D16&gt;D13^2/4/D20,D13^2/4/D20/D16,1),SQRT(16*D18*D15/10/PI()/D13^2*IF(D10,1,D19)*IF(D16&gt;D13^2/4/D20,D13^2/4/D20/D16,1)*3770)*IF(D11,10^0.3,1))))</f>
      </c>
      <c r="F29" t="str">
        <f>IF(D29&gt;$D$21,"×","○")</f>
        <v>×</v>
      </c>
      <c r="G29" t="e">
        <f>16*D18*D15/10/PI()/D13^2*IF(D10,1,D19)*IF(D11,10^0.6,1)*IF(D16&gt;D13^2/4/D20,D13^2/4/D20/D16,1)</f>
        <v>#DIV/0!</v>
      </c>
    </row>
  </sheetData>
  <sheetProtection/>
  <printOptions/>
  <pageMargins left="0.75" right="0.75" top="1" bottom="1" header="0.5" footer="0.5"/>
  <pageSetup orientation="portrait" paperSize="9"/>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I52"/>
  <sheetViews>
    <sheetView zoomScalePageLayoutView="0" workbookViewId="0" topLeftCell="A14">
      <selection activeCell="D43" sqref="D43"/>
    </sheetView>
  </sheetViews>
  <sheetFormatPr defaultColWidth="8.796875" defaultRowHeight="14.25"/>
  <cols>
    <col min="1" max="1" width="8.59765625" style="1" customWidth="1"/>
    <col min="2" max="2" width="12.59765625" style="1" customWidth="1"/>
    <col min="3" max="3" width="7" style="1" customWidth="1"/>
    <col min="4" max="4" width="13" style="1" customWidth="1"/>
    <col min="5" max="5" width="9" style="1" customWidth="1"/>
    <col min="6" max="6" width="5.5" style="1" customWidth="1"/>
    <col min="7" max="7" width="12.8984375" style="1" customWidth="1"/>
    <col min="8" max="8" width="7.59765625" style="1" customWidth="1"/>
    <col min="9" max="9" width="5.8984375" style="1" customWidth="1"/>
    <col min="10" max="16384" width="9" style="1" customWidth="1"/>
  </cols>
  <sheetData>
    <row r="1" ht="17.25">
      <c r="A1" s="50" t="s">
        <v>151</v>
      </c>
    </row>
    <row r="2" ht="17.25">
      <c r="A2" s="50"/>
    </row>
    <row r="4" ht="13.5">
      <c r="A4" s="59" t="s">
        <v>152</v>
      </c>
    </row>
    <row r="5" ht="13.5">
      <c r="A5" s="59"/>
    </row>
    <row r="6" spans="1:9" ht="13.5">
      <c r="A6" s="1" t="s">
        <v>153</v>
      </c>
      <c r="B6" s="2">
        <f>DATA0!D1</f>
        <v>28.5</v>
      </c>
      <c r="C6" s="1" t="str">
        <f>IF(DATA0!B2=1,DATA0!A3,DATA0!A4)</f>
        <v>ＭＨｚ</v>
      </c>
      <c r="D6" s="1" t="s">
        <v>154</v>
      </c>
      <c r="E6" s="2">
        <f>DATA0!D3</f>
        <v>500</v>
      </c>
      <c r="F6" s="1" t="str">
        <f>IF(DATA0!B5=1,DATA0!A6,DATA0!A7)</f>
        <v>Ｗ</v>
      </c>
      <c r="G6" s="1" t="s">
        <v>155</v>
      </c>
      <c r="H6" s="6">
        <f>DATA0!D5</f>
        <v>0.22</v>
      </c>
      <c r="I6" s="1" t="s">
        <v>9</v>
      </c>
    </row>
    <row r="7" spans="4:9" ht="13.5">
      <c r="D7" s="1" t="s">
        <v>156</v>
      </c>
      <c r="E7" s="2">
        <f>DATA0!D7</f>
        <v>13.6</v>
      </c>
      <c r="F7" s="1" t="s">
        <v>15</v>
      </c>
      <c r="G7" s="1" t="s">
        <v>157</v>
      </c>
      <c r="H7" s="2">
        <f>DATA0!D6</f>
        <v>0</v>
      </c>
      <c r="I7" s="1" t="s">
        <v>9</v>
      </c>
    </row>
    <row r="9" spans="3:7" ht="13.5">
      <c r="C9" s="1" t="s">
        <v>158</v>
      </c>
      <c r="E9" s="2">
        <f>DATA0!D8</f>
        <v>0</v>
      </c>
      <c r="F9" s="1" t="s">
        <v>15</v>
      </c>
      <c r="G9" s="1" t="s">
        <v>243</v>
      </c>
    </row>
    <row r="10" spans="1:6" ht="13.5">
      <c r="A10" s="1" t="s">
        <v>159</v>
      </c>
      <c r="F10" s="1" t="str">
        <f>IF(DATA0!B11=1,"ない","ある")</f>
        <v>ない</v>
      </c>
    </row>
    <row r="11" ht="13.5">
      <c r="A11" s="59" t="s">
        <v>160</v>
      </c>
    </row>
    <row r="13" ht="13.5">
      <c r="A13" s="1" t="s">
        <v>161</v>
      </c>
    </row>
    <row r="15" spans="1:5" ht="13.5">
      <c r="A15" s="1" t="s">
        <v>162</v>
      </c>
      <c r="C15" s="5" t="s">
        <v>163</v>
      </c>
      <c r="D15" s="2">
        <f>DATA0!D15</f>
        <v>500</v>
      </c>
      <c r="E15" s="1" t="s">
        <v>164</v>
      </c>
    </row>
    <row r="16" spans="1:5" ht="13.5">
      <c r="A16" s="1" t="s">
        <v>165</v>
      </c>
      <c r="D16" s="2">
        <f>DATA0!D17</f>
        <v>1.0519618738232228</v>
      </c>
      <c r="E16" s="1" t="s">
        <v>13</v>
      </c>
    </row>
    <row r="17" spans="1:5" ht="13.5">
      <c r="A17" s="1" t="s">
        <v>166</v>
      </c>
      <c r="D17" s="2">
        <f>DATA0!D16</f>
        <v>11.6</v>
      </c>
      <c r="E17" s="1" t="s">
        <v>15</v>
      </c>
    </row>
    <row r="18" spans="1:4" ht="13.5">
      <c r="A18" s="1" t="s">
        <v>167</v>
      </c>
      <c r="C18" s="5" t="s">
        <v>163</v>
      </c>
      <c r="D18" s="60">
        <f>DATA0!D19</f>
        <v>4</v>
      </c>
    </row>
    <row r="20" ht="13.5">
      <c r="A20" s="1" t="s">
        <v>168</v>
      </c>
    </row>
    <row r="21" spans="2:7" ht="13.5">
      <c r="B21" s="61" t="str">
        <f>IF(DATA0!D2&gt;30,"電力束密度","電界強度")</f>
        <v>電界強度</v>
      </c>
      <c r="C21" s="62" t="s">
        <v>169</v>
      </c>
      <c r="D21" s="61">
        <f>DATA0!D21</f>
        <v>28.912280701754387</v>
      </c>
      <c r="E21" s="61" t="str">
        <f>DATA0!E21</f>
        <v>[V/m]</v>
      </c>
      <c r="F21" s="61" t="s">
        <v>170</v>
      </c>
      <c r="G21" s="61"/>
    </row>
    <row r="23" spans="1:9" ht="13.5">
      <c r="A23" s="1" t="s">
        <v>171</v>
      </c>
      <c r="D23" s="2">
        <v>10.82910977104124</v>
      </c>
      <c r="E23" s="1" t="str">
        <f>E21</f>
        <v>[V/m]</v>
      </c>
      <c r="F23" s="1" t="s">
        <v>172</v>
      </c>
      <c r="I23" s="5" t="s">
        <v>242</v>
      </c>
    </row>
    <row r="24" spans="1:7" ht="13.5">
      <c r="A24" s="1" t="s">
        <v>173</v>
      </c>
      <c r="D24" s="2">
        <v>0</v>
      </c>
      <c r="E24" s="1" t="s">
        <v>174</v>
      </c>
      <c r="G24" s="1" t="str">
        <f>G9</f>
        <v>（直下からの距離）</v>
      </c>
    </row>
    <row r="26" spans="1:9" ht="13.5">
      <c r="A26" s="1" t="s">
        <v>175</v>
      </c>
      <c r="D26" s="2">
        <v>21.65821954208248</v>
      </c>
      <c r="E26" s="1" t="str">
        <f>E21</f>
        <v>[V/m]</v>
      </c>
      <c r="F26" s="1" t="s">
        <v>172</v>
      </c>
      <c r="I26" s="5" t="s">
        <v>242</v>
      </c>
    </row>
    <row r="27" spans="1:7" ht="13.5">
      <c r="A27" s="1" t="s">
        <v>173</v>
      </c>
      <c r="D27" s="2">
        <v>0</v>
      </c>
      <c r="E27" s="1" t="s">
        <v>174</v>
      </c>
      <c r="G27" s="1" t="str">
        <f>G9</f>
        <v>（直下からの距離）</v>
      </c>
    </row>
    <row r="28" ht="13.5">
      <c r="A28" s="1" t="s">
        <v>176</v>
      </c>
    </row>
    <row r="31" ht="13.5">
      <c r="A31" s="1" t="s">
        <v>225</v>
      </c>
    </row>
    <row r="32" ht="13.5">
      <c r="A32" s="1" t="s">
        <v>226</v>
      </c>
    </row>
    <row r="34" spans="1:2" ht="13.5">
      <c r="A34" s="1" t="s">
        <v>227</v>
      </c>
      <c r="B34" s="1" t="s">
        <v>228</v>
      </c>
    </row>
    <row r="35" ht="13.5">
      <c r="B35" s="1" t="s">
        <v>246</v>
      </c>
    </row>
    <row r="36" ht="13.5">
      <c r="B36" s="1" t="s">
        <v>247</v>
      </c>
    </row>
    <row r="37" ht="13.5">
      <c r="B37" s="1" t="s">
        <v>229</v>
      </c>
    </row>
    <row r="38" ht="13.5">
      <c r="B38" s="1" t="s">
        <v>245</v>
      </c>
    </row>
    <row r="40" ht="13.5">
      <c r="B40" s="1" t="s">
        <v>248</v>
      </c>
    </row>
    <row r="42" ht="13.5">
      <c r="B42" s="1" t="s">
        <v>235</v>
      </c>
    </row>
    <row r="43" spans="2:3" ht="13.5">
      <c r="B43" s="1" t="s">
        <v>230</v>
      </c>
      <c r="C43" s="1" t="s">
        <v>231</v>
      </c>
    </row>
    <row r="44" spans="2:3" ht="13.5">
      <c r="B44" s="1" t="s">
        <v>232</v>
      </c>
      <c r="C44" s="1" t="s">
        <v>233</v>
      </c>
    </row>
    <row r="45" spans="2:3" ht="13.5">
      <c r="B45" s="1" t="s">
        <v>234</v>
      </c>
      <c r="C45" s="1" t="s">
        <v>236</v>
      </c>
    </row>
    <row r="46" spans="2:3" ht="13.5">
      <c r="B46" s="1" t="s">
        <v>237</v>
      </c>
      <c r="C46" s="1" t="s">
        <v>238</v>
      </c>
    </row>
    <row r="48" ht="13.5">
      <c r="B48" s="1" t="s">
        <v>239</v>
      </c>
    </row>
    <row r="49" spans="2:3" ht="13.5">
      <c r="B49" s="1" t="s">
        <v>230</v>
      </c>
      <c r="C49" s="1" t="s">
        <v>244</v>
      </c>
    </row>
    <row r="50" spans="2:3" ht="13.5">
      <c r="B50" s="1" t="s">
        <v>232</v>
      </c>
      <c r="C50" s="1" t="s">
        <v>233</v>
      </c>
    </row>
    <row r="51" spans="2:3" ht="13.5">
      <c r="B51" s="1" t="s">
        <v>234</v>
      </c>
      <c r="C51" s="1" t="s">
        <v>240</v>
      </c>
    </row>
    <row r="52" spans="2:3" ht="13.5">
      <c r="B52" s="1" t="s">
        <v>237</v>
      </c>
      <c r="C52" s="1" t="s">
        <v>241</v>
      </c>
    </row>
  </sheetData>
  <sheetProtection/>
  <printOptions/>
  <pageMargins left="0.7874015748031497" right="0.7874015748031497" top="0.984251968503937" bottom="0.984251968503937" header="0.5118110236220472" footer="0.5118110236220472"/>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J104"/>
  <sheetViews>
    <sheetView zoomScalePageLayoutView="0" workbookViewId="0" topLeftCell="A1">
      <selection activeCell="A1" sqref="A1"/>
    </sheetView>
  </sheetViews>
  <sheetFormatPr defaultColWidth="8.796875" defaultRowHeight="14.25"/>
  <cols>
    <col min="1" max="1" width="2.59765625" style="63" customWidth="1"/>
    <col min="2" max="2" width="11.09765625" style="63" customWidth="1"/>
    <col min="3" max="3" width="10.5" style="63" customWidth="1"/>
    <col min="4" max="4" width="6.59765625" style="63" customWidth="1"/>
    <col min="5" max="5" width="18" style="63" customWidth="1"/>
    <col min="6" max="6" width="10.5" style="63" customWidth="1"/>
    <col min="7" max="7" width="4.8984375" style="63" customWidth="1"/>
    <col min="8" max="8" width="17.5" style="63" customWidth="1"/>
    <col min="9" max="9" width="11.5" style="63" customWidth="1"/>
    <col min="10" max="10" width="5" style="63" customWidth="1"/>
    <col min="11" max="16384" width="9" style="63" customWidth="1"/>
  </cols>
  <sheetData>
    <row r="1" ht="13.5">
      <c r="A1" s="63" t="s">
        <v>177</v>
      </c>
    </row>
    <row r="2" spans="2:10" ht="6.75" customHeight="1">
      <c r="B2" s="64"/>
      <c r="C2" s="65"/>
      <c r="D2" s="65"/>
      <c r="E2" s="65"/>
      <c r="F2" s="65"/>
      <c r="G2" s="65"/>
      <c r="H2" s="65"/>
      <c r="I2" s="65"/>
      <c r="J2" s="66"/>
    </row>
    <row r="3" spans="2:10" ht="13.5">
      <c r="B3" s="79" t="s">
        <v>153</v>
      </c>
      <c r="C3" s="68">
        <f>DATA0!D1</f>
        <v>28.5</v>
      </c>
      <c r="D3" s="68" t="str">
        <f>IF(DATA0!B2=1,DATA0!A3,DATA0!A4)</f>
        <v>ＭＨｚ</v>
      </c>
      <c r="E3" s="69" t="s">
        <v>154</v>
      </c>
      <c r="F3" s="68">
        <f>DATA0!D3</f>
        <v>500</v>
      </c>
      <c r="G3" s="68" t="str">
        <f>IF(DATA0!B5=1,DATA0!A6,DATA0!A7)</f>
        <v>Ｗ</v>
      </c>
      <c r="H3" s="70" t="s">
        <v>178</v>
      </c>
      <c r="I3" s="68" t="str">
        <f>IF(DATA0!B20=1,DATA0!A21,IF(DATA0!B20=2,DATA0!A22,DATA0!A23))</f>
        <v>その他の空中線</v>
      </c>
      <c r="J3" s="71"/>
    </row>
    <row r="4" spans="2:10" ht="13.5">
      <c r="B4" s="67"/>
      <c r="C4" s="68"/>
      <c r="D4" s="68"/>
      <c r="E4" s="69" t="s">
        <v>156</v>
      </c>
      <c r="F4" s="68">
        <f>DATA0!D7</f>
        <v>13.6</v>
      </c>
      <c r="G4" s="68" t="s">
        <v>15</v>
      </c>
      <c r="H4" s="70" t="s">
        <v>179</v>
      </c>
      <c r="I4" s="68">
        <f>IF(OR(DATA0!B20=1,DATA0!B20=2),DATA0!D13,"")</f>
      </c>
      <c r="J4" s="71" t="s">
        <v>15</v>
      </c>
    </row>
    <row r="5" spans="2:10" ht="13.5">
      <c r="B5" s="67"/>
      <c r="C5" s="68"/>
      <c r="D5" s="68"/>
      <c r="E5" s="69" t="s">
        <v>155</v>
      </c>
      <c r="F5" s="68">
        <f>DATA0!D5</f>
        <v>0.22</v>
      </c>
      <c r="G5" s="68" t="s">
        <v>9</v>
      </c>
      <c r="H5" s="70" t="s">
        <v>180</v>
      </c>
      <c r="I5" s="68">
        <f>IF(DATA0!B20=2,DATA0!D14,"")</f>
      </c>
      <c r="J5" s="71" t="s">
        <v>181</v>
      </c>
    </row>
    <row r="6" spans="2:10" ht="13.5">
      <c r="B6" s="67"/>
      <c r="C6" s="68"/>
      <c r="D6" s="68"/>
      <c r="E6" s="69" t="s">
        <v>182</v>
      </c>
      <c r="F6" s="68">
        <f>DATA0!D6</f>
        <v>0</v>
      </c>
      <c r="G6" s="68" t="s">
        <v>9</v>
      </c>
      <c r="H6" s="68"/>
      <c r="I6" s="68"/>
      <c r="J6" s="71"/>
    </row>
    <row r="7" spans="2:10" ht="6.75" customHeight="1">
      <c r="B7" s="72"/>
      <c r="C7" s="73"/>
      <c r="D7" s="73"/>
      <c r="E7" s="73"/>
      <c r="F7" s="73"/>
      <c r="G7" s="73"/>
      <c r="H7" s="73"/>
      <c r="I7" s="73"/>
      <c r="J7" s="74"/>
    </row>
    <row r="8" spans="4:10" ht="13.5">
      <c r="D8" s="75" t="s">
        <v>183</v>
      </c>
      <c r="E8" s="76">
        <f>DATA0!D15</f>
        <v>500</v>
      </c>
      <c r="H8" s="75" t="s">
        <v>184</v>
      </c>
      <c r="I8" s="76">
        <f>DATA0!D17</f>
        <v>1.0519618738232228</v>
      </c>
      <c r="J8" s="63" t="s">
        <v>13</v>
      </c>
    </row>
    <row r="10" ht="13.5">
      <c r="A10" s="63" t="s">
        <v>185</v>
      </c>
    </row>
    <row r="11" spans="2:10" ht="13.5">
      <c r="B11" s="63" t="s">
        <v>186</v>
      </c>
      <c r="E11" s="73">
        <v>0</v>
      </c>
      <c r="F11" s="63" t="s">
        <v>187</v>
      </c>
      <c r="H11" s="75" t="s">
        <v>188</v>
      </c>
      <c r="I11" s="73">
        <v>8.8</v>
      </c>
      <c r="J11" s="63" t="s">
        <v>189</v>
      </c>
    </row>
    <row r="12" ht="13.5">
      <c r="B12" s="63" t="str">
        <f>"○算出地点における大地面反射は、考慮"&amp;IF(DATA0!H2,"しない。","する。")</f>
        <v>○算出地点における大地面反射は、考慮しない。</v>
      </c>
    </row>
    <row r="13" ht="13.5">
      <c r="B13" s="63" t="str">
        <f>"○算出地点におけるビル・鉄塔等による反射の恐れは"&amp;IF(DATA0!G2,"ある。","ない。")</f>
        <v>○算出地点におけるビル・鉄塔等による反射の恐れはない。</v>
      </c>
    </row>
    <row r="14" spans="2:4" ht="13.5">
      <c r="B14" s="63" t="s">
        <v>190</v>
      </c>
      <c r="C14" s="77">
        <v>29.428571428571427</v>
      </c>
      <c r="D14" s="63" t="str">
        <f>DATA0!E21</f>
        <v>[V/m]</v>
      </c>
    </row>
    <row r="15" spans="2:9" ht="13.5">
      <c r="B15" s="63" t="s">
        <v>191</v>
      </c>
      <c r="E15" s="73">
        <v>80.36798336848231</v>
      </c>
      <c r="F15" s="63" t="str">
        <f>D14</f>
        <v>[V/m]</v>
      </c>
      <c r="G15" s="63" t="s">
        <v>192</v>
      </c>
      <c r="I15" s="63" t="s">
        <v>222</v>
      </c>
    </row>
    <row r="16" spans="2:7" ht="13.5">
      <c r="B16" s="63" t="str">
        <f>IF(I15="している。","","基準値を充足するためには、空中線の位置から")</f>
        <v>基準値を充足するためには、空中線の位置から</v>
      </c>
      <c r="F16" s="68">
        <v>23.808210279374016</v>
      </c>
      <c r="G16" s="63" t="str">
        <f>IF(I15="している。","","ｍ以内に出入りさせない必要がある。")</f>
        <v>ｍ以内に出入りさせない必要がある。</v>
      </c>
    </row>
    <row r="17" spans="1:9" ht="13.5">
      <c r="A17" s="80">
        <v>1</v>
      </c>
      <c r="B17" s="63" t="str">
        <f>IF(A17=0,"",IF(A17=9,"指向性及び空中線を考慮した算出はできない。",IF(A17=1,"指向性による減衰を考慮した場合、算出結果は","空中線の種類から算出した場合の算出結果は、")))</f>
        <v>指向性による減衰を考慮した場合、算出結果は</v>
      </c>
      <c r="F17" s="63">
        <v>1.603552085451784</v>
      </c>
      <c r="G17" s="63" t="str">
        <f>IF(OR(A17=0,A17=9),"","であり、基準値を充足")</f>
        <v>であり、基準値を充足</v>
      </c>
      <c r="I17" s="78" t="s">
        <v>224</v>
      </c>
    </row>
    <row r="18" spans="2:7" ht="13.5">
      <c r="B18" s="63">
        <f>IF(AND(OR(A17=1,A17=2),I17="していない。"),"基準値を充足するためには、空中線の位置から","")</f>
      </c>
      <c r="G18" s="63">
        <f>IF(B18="","","ｍ以内に出入りさせない必要がある。")</f>
      </c>
    </row>
    <row r="19" spans="1:9" ht="13.5">
      <c r="A19" s="80">
        <v>0</v>
      </c>
      <c r="B19" s="63">
        <f>IF(A19=0,"","次に、空間的平均値により算出してみると、")</f>
      </c>
      <c r="G19" s="63">
        <f>IF(A19=0,"",IF(A17=1,"　（","となり、"))</f>
      </c>
      <c r="I19" s="63">
        <f>IF(G19="　（","）となり、","")</f>
      </c>
    </row>
    <row r="22" ht="13.5">
      <c r="A22" s="63" t="s">
        <v>193</v>
      </c>
    </row>
    <row r="23" spans="2:10" ht="13.5">
      <c r="B23" s="63" t="s">
        <v>186</v>
      </c>
      <c r="E23" s="73">
        <v>0</v>
      </c>
      <c r="F23" s="63" t="s">
        <v>187</v>
      </c>
      <c r="H23" s="75" t="s">
        <v>188</v>
      </c>
      <c r="I23" s="73">
        <v>8.8</v>
      </c>
      <c r="J23" s="63" t="s">
        <v>189</v>
      </c>
    </row>
    <row r="24" ht="13.5">
      <c r="B24" s="63" t="str">
        <f>"○算出地点における大地面反射は、考慮"&amp;IF(DATA0!H3,"しない。","する。")</f>
        <v>○算出地点における大地面反射は、考慮する。</v>
      </c>
    </row>
    <row r="25" ht="13.5">
      <c r="B25" s="63" t="str">
        <f>"○算出地点におけるビル・鉄塔等による反射の恐れは"&amp;IF(DATA0!G3,"ある。","ない。")</f>
        <v>○算出地点におけるビル・鉄塔等による反射の恐れはない。</v>
      </c>
    </row>
    <row r="26" spans="2:4" ht="13.5">
      <c r="B26" s="63" t="s">
        <v>190</v>
      </c>
      <c r="C26" s="77">
        <v>29.428571428571427</v>
      </c>
      <c r="D26" s="63" t="str">
        <f>D14</f>
        <v>[V/m]</v>
      </c>
    </row>
    <row r="27" spans="2:9" ht="13.5">
      <c r="B27" s="63" t="s">
        <v>191</v>
      </c>
      <c r="E27" s="73">
        <v>160.73596673696463</v>
      </c>
      <c r="F27" s="63" t="str">
        <f>D26</f>
        <v>[V/m]</v>
      </c>
      <c r="G27" s="63" t="s">
        <v>192</v>
      </c>
      <c r="I27" s="63" t="s">
        <v>222</v>
      </c>
    </row>
    <row r="28" spans="2:7" ht="13.5">
      <c r="B28" s="63" t="str">
        <f>IF(I27="している。","","基準値を充足するためには、空中線の位置から")</f>
        <v>基準値を充足するためには、空中線の位置から</v>
      </c>
      <c r="F28" s="68">
        <v>47.61642055874803</v>
      </c>
      <c r="G28" s="63" t="str">
        <f>IF(I27="している。","","ｍ以内に出入りさせない必要がある。")</f>
        <v>ｍ以内に出入りさせない必要がある。</v>
      </c>
    </row>
    <row r="29" spans="1:9" ht="13.5">
      <c r="A29" s="80">
        <v>9</v>
      </c>
      <c r="B29" s="63" t="str">
        <f>IF(A29=0,"",IF(A29=9,"指向性及び空中線を考慮した算出はできない。",IF(A29=1,"指向性による減衰を考慮した場合、算出結果は","空中線の種類から算出した場合の算出結果は、")))</f>
        <v>指向性及び空中線を考慮した算出はできない。</v>
      </c>
      <c r="G29" s="63">
        <f>IF(OR(A29=0,A29=9),"","であり、基準値を充足")</f>
      </c>
      <c r="I29" s="78"/>
    </row>
    <row r="30" spans="2:7" ht="13.5">
      <c r="B30" s="63">
        <f>IF(AND(OR(A29=1,A29=2),I29="していない。"),"基準値を充足するためには、空中線の位置から","")</f>
      </c>
      <c r="G30" s="63">
        <f>IF(B30="","","ｍ以内に出入りさせない必要がある。")</f>
      </c>
    </row>
    <row r="31" spans="1:9" ht="13.5">
      <c r="A31" s="80">
        <v>1</v>
      </c>
      <c r="B31" s="63" t="str">
        <f>IF(A31=0,"","次に、空間的平均値により算出してみると、")</f>
        <v>次に、空間的平均値により算出してみると、</v>
      </c>
      <c r="F31" s="63">
        <v>146.5954759045701</v>
      </c>
      <c r="G31" s="63" t="str">
        <f>IF(A31=0,"",IF(A29=1,"　（","となり、"))</f>
        <v>となり、</v>
      </c>
      <c r="I31" s="63">
        <f>IF(G31="　（","）となり、","")</f>
      </c>
    </row>
    <row r="32" ht="13.5">
      <c r="B32" s="63" t="s">
        <v>223</v>
      </c>
    </row>
    <row r="34" ht="13.5">
      <c r="A34" s="63" t="s">
        <v>194</v>
      </c>
    </row>
    <row r="35" spans="2:10" ht="13.5">
      <c r="B35" s="63" t="s">
        <v>186</v>
      </c>
      <c r="E35" s="73">
        <v>0</v>
      </c>
      <c r="F35" s="63" t="s">
        <v>187</v>
      </c>
      <c r="H35" s="75" t="s">
        <v>188</v>
      </c>
      <c r="I35" s="73">
        <v>8.8</v>
      </c>
      <c r="J35" s="63" t="s">
        <v>189</v>
      </c>
    </row>
    <row r="36" ht="13.5">
      <c r="B36" s="63" t="str">
        <f>"○算出地点における大地面反射は、考慮"&amp;IF(DATA0!H4,"しない。","する。")</f>
        <v>○算出地点における大地面反射は、考慮する。</v>
      </c>
    </row>
    <row r="37" ht="13.5">
      <c r="B37" s="63" t="str">
        <f>"○算出地点におけるビル・鉄塔等による反射の恐れは"&amp;IF(DATA0!G4,"ある。","ない。")</f>
        <v>○算出地点におけるビル・鉄塔等による反射の恐れはない。</v>
      </c>
    </row>
    <row r="38" spans="2:4" ht="13.5">
      <c r="B38" s="63" t="s">
        <v>190</v>
      </c>
      <c r="C38" s="77">
        <v>29.428571428571427</v>
      </c>
      <c r="D38" s="63" t="str">
        <f>D14</f>
        <v>[V/m]</v>
      </c>
    </row>
    <row r="39" spans="2:9" ht="13.5">
      <c r="B39" s="63" t="s">
        <v>191</v>
      </c>
      <c r="E39" s="73">
        <v>160.73596673696463</v>
      </c>
      <c r="F39" s="63" t="str">
        <f>D38</f>
        <v>[V/m]</v>
      </c>
      <c r="G39" s="63" t="s">
        <v>192</v>
      </c>
      <c r="I39" s="63" t="s">
        <v>222</v>
      </c>
    </row>
    <row r="40" spans="2:7" ht="13.5">
      <c r="B40" s="63" t="str">
        <f>IF(I39="している。","","基準値を充足するためには、空中線の位置から")</f>
        <v>基準値を充足するためには、空中線の位置から</v>
      </c>
      <c r="F40" s="68">
        <v>47.61642055874803</v>
      </c>
      <c r="G40" s="63" t="str">
        <f>IF(I39="している。","","ｍ以内に出入りさせない必要がある。")</f>
        <v>ｍ以内に出入りさせない必要がある。</v>
      </c>
    </row>
    <row r="41" spans="1:9" ht="13.5">
      <c r="A41" s="80">
        <v>9</v>
      </c>
      <c r="B41" s="63" t="str">
        <f>IF(A41=0,"",IF(A41=9,"指向性及び空中線を考慮した算出はできない。",IF(A41=1,"指向性による減衰を考慮した場合、算出結果は","空中線の種類から算出した場合の算出結果は、")))</f>
        <v>指向性及び空中線を考慮した算出はできない。</v>
      </c>
      <c r="G41" s="63">
        <f>IF(OR(A41=0,A41=9),"","であり、基準値を充足")</f>
      </c>
      <c r="I41" s="78"/>
    </row>
    <row r="42" spans="2:7" ht="13.5">
      <c r="B42" s="63">
        <f>IF(AND(OR(A41=1,A41=2),I41="していない。"),"基準値を充足するためには、空中線の位置から","")</f>
      </c>
      <c r="G42" s="63">
        <f>IF(B42="","","ｍ以内に出入りさせない必要がある。")</f>
      </c>
    </row>
    <row r="43" spans="1:9" ht="13.5">
      <c r="A43" s="80">
        <v>1</v>
      </c>
      <c r="B43" s="63" t="str">
        <f>IF(A43=0,"","次に、空間的平均値により算出してみると、")</f>
        <v>次に、空間的平均値により算出してみると、</v>
      </c>
      <c r="F43" s="63">
        <v>146.5954759045701</v>
      </c>
      <c r="G43" s="63" t="str">
        <f>IF(A43=0,"",IF(A41=1,"　（","となり、"))</f>
        <v>となり、</v>
      </c>
      <c r="I43" s="63">
        <f>IF(G43="　（","）となり、","")</f>
      </c>
    </row>
    <row r="44" ht="13.5">
      <c r="B44" s="63" t="s">
        <v>223</v>
      </c>
    </row>
    <row r="46" ht="13.5">
      <c r="A46" s="63" t="s">
        <v>195</v>
      </c>
    </row>
    <row r="47" spans="2:10" ht="13.5">
      <c r="B47" s="63" t="s">
        <v>186</v>
      </c>
      <c r="E47" s="73">
        <v>0</v>
      </c>
      <c r="F47" s="63" t="s">
        <v>187</v>
      </c>
      <c r="H47" s="75" t="s">
        <v>188</v>
      </c>
      <c r="I47" s="73">
        <v>8.8</v>
      </c>
      <c r="J47" s="63" t="s">
        <v>189</v>
      </c>
    </row>
    <row r="48" ht="13.5">
      <c r="B48" s="63" t="str">
        <f>"○算出地点における大地面反射は、考慮"&amp;IF(DATA0!H5,"しない。","する。")</f>
        <v>○算出地点における大地面反射は、考慮する。</v>
      </c>
    </row>
    <row r="49" ht="13.5">
      <c r="B49" s="63" t="str">
        <f>"○算出地点におけるビル・鉄塔等による反射の恐れは"&amp;IF(DATA0!G5,"ある。","ない。")</f>
        <v>○算出地点におけるビル・鉄塔等による反射の恐れはない。</v>
      </c>
    </row>
    <row r="50" spans="2:4" ht="13.5">
      <c r="B50" s="63" t="s">
        <v>190</v>
      </c>
      <c r="C50" s="77">
        <v>29.428571428571427</v>
      </c>
      <c r="D50" s="63" t="str">
        <f>D14</f>
        <v>[V/m]</v>
      </c>
    </row>
    <row r="51" spans="2:9" ht="13.5">
      <c r="B51" s="63" t="s">
        <v>191</v>
      </c>
      <c r="E51" s="73">
        <v>160.73596673696463</v>
      </c>
      <c r="F51" s="63" t="str">
        <f>D50</f>
        <v>[V/m]</v>
      </c>
      <c r="G51" s="63" t="s">
        <v>192</v>
      </c>
      <c r="I51" s="63" t="s">
        <v>222</v>
      </c>
    </row>
    <row r="52" spans="2:7" ht="13.5">
      <c r="B52" s="63" t="str">
        <f>IF(I51="している。","","基準値を充足するためには、空中線の位置から")</f>
        <v>基準値を充足するためには、空中線の位置から</v>
      </c>
      <c r="F52" s="68">
        <v>47.61642055874803</v>
      </c>
      <c r="G52" s="63" t="str">
        <f>IF(I51="している。","","ｍ以内に出入りさせない必要がある。")</f>
        <v>ｍ以内に出入りさせない必要がある。</v>
      </c>
    </row>
    <row r="53" spans="1:9" ht="13.5">
      <c r="A53" s="80">
        <v>9</v>
      </c>
      <c r="B53" s="63" t="str">
        <f>IF(A53=0,"",IF(A53=9,"指向性及び空中線を考慮した算出はできない。",IF(A53=1,"指向性による減衰を考慮した場合、算出結果は","空中線の種類から算出した場合の算出結果は、")))</f>
        <v>指向性及び空中線を考慮した算出はできない。</v>
      </c>
      <c r="G53" s="63">
        <f>IF(OR(A53=0,A53=9),"","であり、基準値を充足")</f>
      </c>
      <c r="I53" s="78"/>
    </row>
    <row r="54" spans="2:7" ht="13.5">
      <c r="B54" s="63">
        <f>IF(AND(OR(A53=1,A53=2),I53="していない。"),"基準値を充足するためには、空中線の位置から","")</f>
      </c>
      <c r="G54" s="63">
        <f>IF(B54="","","ｍ以内に出入りさせない必要がある。")</f>
      </c>
    </row>
    <row r="55" spans="1:9" ht="13.5">
      <c r="A55" s="80">
        <v>1</v>
      </c>
      <c r="B55" s="63" t="str">
        <f>IF(A55=0,"","次に、空間的平均値により算出してみると、")</f>
        <v>次に、空間的平均値により算出してみると、</v>
      </c>
      <c r="F55" s="63">
        <v>146.5954759045701</v>
      </c>
      <c r="G55" s="63" t="str">
        <f>IF(A55=0,"",IF(A53=1,"　（","となり、"))</f>
        <v>となり、</v>
      </c>
      <c r="I55" s="63">
        <f>IF(G55="　（","）となり、","")</f>
      </c>
    </row>
    <row r="56" ht="13.5">
      <c r="B56" s="63" t="s">
        <v>223</v>
      </c>
    </row>
    <row r="58" ht="13.5">
      <c r="A58" s="63" t="s">
        <v>196</v>
      </c>
    </row>
    <row r="59" spans="2:10" ht="13.5">
      <c r="B59" s="63" t="s">
        <v>186</v>
      </c>
      <c r="E59" s="73">
        <v>0</v>
      </c>
      <c r="F59" s="63" t="s">
        <v>187</v>
      </c>
      <c r="H59" s="75" t="s">
        <v>188</v>
      </c>
      <c r="I59" s="73">
        <v>8.8</v>
      </c>
      <c r="J59" s="63" t="s">
        <v>189</v>
      </c>
    </row>
    <row r="60" ht="13.5">
      <c r="B60" s="63" t="str">
        <f>"○算出地点における大地面反射は、考慮"&amp;IF(DATA0!H6,"しない。","する。")</f>
        <v>○算出地点における大地面反射は、考慮する。</v>
      </c>
    </row>
    <row r="61" ht="13.5">
      <c r="B61" s="63" t="str">
        <f>"○算出地点におけるビル・鉄塔等による反射の恐れは"&amp;IF(DATA0!G6,"ある。","ない。")</f>
        <v>○算出地点におけるビル・鉄塔等による反射の恐れはない。</v>
      </c>
    </row>
    <row r="62" spans="2:4" ht="13.5">
      <c r="B62" s="63" t="s">
        <v>190</v>
      </c>
      <c r="C62" s="77">
        <v>29.428571428571427</v>
      </c>
      <c r="D62" s="63" t="str">
        <f>D14</f>
        <v>[V/m]</v>
      </c>
    </row>
    <row r="63" spans="2:9" ht="13.5">
      <c r="B63" s="63" t="s">
        <v>191</v>
      </c>
      <c r="E63" s="73">
        <v>160.73596673696463</v>
      </c>
      <c r="F63" s="63" t="str">
        <f>D62</f>
        <v>[V/m]</v>
      </c>
      <c r="G63" s="63" t="s">
        <v>192</v>
      </c>
      <c r="I63" s="63" t="s">
        <v>222</v>
      </c>
    </row>
    <row r="64" spans="2:7" ht="13.5">
      <c r="B64" s="63" t="str">
        <f>IF(I63="している。","","基準値を充足するためには、空中線の位置から")</f>
        <v>基準値を充足するためには、空中線の位置から</v>
      </c>
      <c r="F64" s="68">
        <v>47.61642055874803</v>
      </c>
      <c r="G64" s="63" t="str">
        <f>IF(I63="している。","","ｍ以内に出入りさせない必要がある。")</f>
        <v>ｍ以内に出入りさせない必要がある。</v>
      </c>
    </row>
    <row r="65" spans="1:9" ht="13.5">
      <c r="A65" s="80">
        <v>9</v>
      </c>
      <c r="B65" s="63" t="str">
        <f>IF(A65=0,"",IF(A65=9,"指向性及び空中線を考慮した算出はできない。",IF(A65=1,"指向性による減衰を考慮した場合、算出結果は","空中線の種類から算出した場合の算出結果は、")))</f>
        <v>指向性及び空中線を考慮した算出はできない。</v>
      </c>
      <c r="G65" s="63">
        <f>IF(OR(A65=0,A65=9),"","であり、基準値を充足")</f>
      </c>
      <c r="I65" s="78"/>
    </row>
    <row r="66" spans="2:7" ht="13.5">
      <c r="B66" s="63">
        <f>IF(AND(OR(A65=1,A65=2),I65="していない。"),"基準値を充足するためには、空中線の位置から","")</f>
      </c>
      <c r="G66" s="63">
        <f>IF(B66="","","ｍ以内に出入りさせない必要がある。")</f>
      </c>
    </row>
    <row r="67" spans="1:9" ht="13.5">
      <c r="A67" s="80">
        <v>1</v>
      </c>
      <c r="B67" s="63" t="str">
        <f>IF(A67=0,"","次に、空間的平均値により算出してみると、")</f>
        <v>次に、空間的平均値により算出してみると、</v>
      </c>
      <c r="F67" s="63">
        <v>146.5954759045701</v>
      </c>
      <c r="G67" s="63" t="str">
        <f>IF(A67=0,"",IF(A65=1,"　（","となり、"))</f>
        <v>となり、</v>
      </c>
      <c r="I67" s="63">
        <f>IF(G67="　（","）となり、","")</f>
      </c>
    </row>
    <row r="68" ht="13.5">
      <c r="B68" s="63" t="s">
        <v>223</v>
      </c>
    </row>
    <row r="70" ht="13.5">
      <c r="A70" s="63" t="s">
        <v>197</v>
      </c>
    </row>
    <row r="71" spans="2:10" ht="13.5">
      <c r="B71" s="63" t="s">
        <v>186</v>
      </c>
      <c r="E71" s="73">
        <v>0</v>
      </c>
      <c r="F71" s="63" t="s">
        <v>187</v>
      </c>
      <c r="H71" s="75" t="s">
        <v>188</v>
      </c>
      <c r="I71" s="73">
        <v>8.8</v>
      </c>
      <c r="J71" s="63" t="s">
        <v>189</v>
      </c>
    </row>
    <row r="72" ht="13.5">
      <c r="B72" s="63" t="str">
        <f>"○算出地点における大地面反射は、考慮"&amp;IF(DATA0!H7,"しない。","する。")</f>
        <v>○算出地点における大地面反射は、考慮する。</v>
      </c>
    </row>
    <row r="73" ht="13.5">
      <c r="B73" s="63" t="str">
        <f>"○算出地点におけるビル・鉄塔等による反射の恐れは"&amp;IF(DATA0!G7,"ある。","ない。")</f>
        <v>○算出地点におけるビル・鉄塔等による反射の恐れはない。</v>
      </c>
    </row>
    <row r="74" spans="2:4" ht="13.5">
      <c r="B74" s="63" t="s">
        <v>190</v>
      </c>
      <c r="C74" s="77">
        <v>29.428571428571427</v>
      </c>
      <c r="D74" s="63" t="str">
        <f>D14</f>
        <v>[V/m]</v>
      </c>
    </row>
    <row r="75" spans="2:9" ht="13.5">
      <c r="B75" s="63" t="s">
        <v>191</v>
      </c>
      <c r="E75" s="73">
        <v>160.73596673696463</v>
      </c>
      <c r="F75" s="63" t="str">
        <f>D74</f>
        <v>[V/m]</v>
      </c>
      <c r="G75" s="63" t="s">
        <v>192</v>
      </c>
      <c r="I75" s="63" t="s">
        <v>222</v>
      </c>
    </row>
    <row r="76" spans="2:7" ht="13.5">
      <c r="B76" s="63" t="str">
        <f>IF(I75="している。","","基準値を充足するためには、空中線の位置から")</f>
        <v>基準値を充足するためには、空中線の位置から</v>
      </c>
      <c r="F76" s="68">
        <v>47.61642055874803</v>
      </c>
      <c r="G76" s="63" t="str">
        <f>IF(I75="している。","","ｍ以内に出入りさせない必要がある。")</f>
        <v>ｍ以内に出入りさせない必要がある。</v>
      </c>
    </row>
    <row r="77" spans="1:9" ht="13.5">
      <c r="A77" s="80">
        <v>9</v>
      </c>
      <c r="B77" s="63" t="str">
        <f>IF(A77=0,"",IF(A77=9,"指向性及び空中線を考慮した算出はできない。",IF(A77=1,"指向性による減衰を考慮した場合、算出結果は","空中線の種類から算出した場合の算出結果は、")))</f>
        <v>指向性及び空中線を考慮した算出はできない。</v>
      </c>
      <c r="G77" s="63">
        <f>IF(OR(A77=0,A77=9),"","であり、基準値を充足")</f>
      </c>
      <c r="I77" s="78"/>
    </row>
    <row r="78" spans="2:7" ht="13.5">
      <c r="B78" s="63">
        <f>IF(AND(OR(A77=1,A77=2),I77="していない。"),"基準値を充足するためには、空中線の位置から","")</f>
      </c>
      <c r="G78" s="63">
        <f>IF(B78="","","ｍ以内に出入りさせない必要がある。")</f>
      </c>
    </row>
    <row r="79" spans="1:9" ht="13.5">
      <c r="A79" s="80">
        <v>1</v>
      </c>
      <c r="B79" s="63" t="str">
        <f>IF(A79=0,"","次に、空間的平均値により算出してみると、")</f>
        <v>次に、空間的平均値により算出してみると、</v>
      </c>
      <c r="F79" s="63">
        <v>146.5954759045701</v>
      </c>
      <c r="G79" s="63" t="str">
        <f>IF(A79=0,"",IF(A77=1,"　（","となり、"))</f>
        <v>となり、</v>
      </c>
      <c r="I79" s="63">
        <f>IF(G79="　（","）となり、","")</f>
      </c>
    </row>
    <row r="80" ht="13.5">
      <c r="B80" s="63" t="s">
        <v>223</v>
      </c>
    </row>
    <row r="82" ht="13.5">
      <c r="A82" s="63" t="s">
        <v>198</v>
      </c>
    </row>
    <row r="83" spans="2:10" ht="13.5">
      <c r="B83" s="63" t="s">
        <v>186</v>
      </c>
      <c r="E83" s="73">
        <v>0</v>
      </c>
      <c r="F83" s="63" t="s">
        <v>187</v>
      </c>
      <c r="H83" s="75" t="s">
        <v>188</v>
      </c>
      <c r="I83" s="73">
        <v>8.8</v>
      </c>
      <c r="J83" s="63" t="s">
        <v>189</v>
      </c>
    </row>
    <row r="84" ht="13.5">
      <c r="B84" s="63" t="str">
        <f>"○算出地点における大地面反射は、考慮"&amp;IF(DATA0!H8,"しない。","する。")</f>
        <v>○算出地点における大地面反射は、考慮する。</v>
      </c>
    </row>
    <row r="85" ht="13.5">
      <c r="B85" s="63" t="str">
        <f>"○算出地点におけるビル・鉄塔等による反射の恐れは"&amp;IF(DATA0!G8,"ある。","ない。")</f>
        <v>○算出地点におけるビル・鉄塔等による反射の恐れはない。</v>
      </c>
    </row>
    <row r="86" spans="2:4" ht="13.5">
      <c r="B86" s="63" t="s">
        <v>190</v>
      </c>
      <c r="C86" s="77">
        <v>29.428571428571427</v>
      </c>
      <c r="D86" s="63" t="str">
        <f>D14</f>
        <v>[V/m]</v>
      </c>
    </row>
    <row r="87" spans="2:9" ht="13.5">
      <c r="B87" s="63" t="s">
        <v>191</v>
      </c>
      <c r="E87" s="73">
        <v>160.73596673696463</v>
      </c>
      <c r="F87" s="63" t="str">
        <f>D86</f>
        <v>[V/m]</v>
      </c>
      <c r="G87" s="63" t="s">
        <v>192</v>
      </c>
      <c r="I87" s="63" t="s">
        <v>222</v>
      </c>
    </row>
    <row r="88" spans="2:7" ht="13.5">
      <c r="B88" s="63" t="str">
        <f>IF(I87="している。","","基準値を充足するためには、空中線の位置から")</f>
        <v>基準値を充足するためには、空中線の位置から</v>
      </c>
      <c r="F88" s="68">
        <v>47.61642055874803</v>
      </c>
      <c r="G88" s="63" t="str">
        <f>IF(I87="している。","","ｍ以内に出入りさせない必要がある。")</f>
        <v>ｍ以内に出入りさせない必要がある。</v>
      </c>
    </row>
    <row r="89" spans="1:9" ht="13.5">
      <c r="A89" s="80">
        <v>9</v>
      </c>
      <c r="B89" s="63" t="str">
        <f>IF(A89=0,"",IF(A89=9,"指向性及び空中線を考慮した算出はできない。",IF(A89=1,"指向性による減衰を考慮した場合、算出結果は","空中線の種類から算出した場合の算出結果は、")))</f>
        <v>指向性及び空中線を考慮した算出はできない。</v>
      </c>
      <c r="G89" s="63">
        <f>IF(OR(A89=0,A89=9),"","であり、基準値を充足")</f>
      </c>
      <c r="I89" s="78"/>
    </row>
    <row r="90" spans="2:7" ht="13.5">
      <c r="B90" s="63">
        <f>IF(AND(OR(A89=1,A89=2),I89="していない。"),"基準値を充足するためには、空中線の位置から","")</f>
      </c>
      <c r="G90" s="63">
        <f>IF(B90="","","ｍ以内に出入りさせない必要がある。")</f>
      </c>
    </row>
    <row r="91" spans="1:9" ht="13.5">
      <c r="A91" s="80">
        <v>1</v>
      </c>
      <c r="B91" s="63" t="str">
        <f>IF(A91=0,"","次に、空間的平均値により算出してみると、")</f>
        <v>次に、空間的平均値により算出してみると、</v>
      </c>
      <c r="F91" s="63">
        <v>146.5954759045701</v>
      </c>
      <c r="G91" s="63" t="str">
        <f>IF(A91=0,"",IF(A89=1,"　（","となり、"))</f>
        <v>となり、</v>
      </c>
      <c r="I91" s="63">
        <f>IF(G91="　（","）となり、","")</f>
      </c>
    </row>
    <row r="92" ht="13.5">
      <c r="B92" s="63" t="s">
        <v>223</v>
      </c>
    </row>
    <row r="94" ht="13.5">
      <c r="A94" s="63" t="s">
        <v>199</v>
      </c>
    </row>
    <row r="95" spans="2:10" ht="13.5">
      <c r="B95" s="63" t="s">
        <v>186</v>
      </c>
      <c r="E95" s="73">
        <v>0</v>
      </c>
      <c r="F95" s="63" t="s">
        <v>187</v>
      </c>
      <c r="H95" s="75" t="s">
        <v>188</v>
      </c>
      <c r="I95" s="73">
        <v>8.8</v>
      </c>
      <c r="J95" s="63" t="s">
        <v>189</v>
      </c>
    </row>
    <row r="96" ht="13.5">
      <c r="B96" s="63" t="str">
        <f>"○算出地点における大地面反射は、考慮"&amp;IF(DATA0!H9,"しない。","する。")</f>
        <v>○算出地点における大地面反射は、考慮する。</v>
      </c>
    </row>
    <row r="97" ht="13.5">
      <c r="B97" s="63" t="str">
        <f>"○算出地点におけるビル・鉄塔等による反射の恐れは"&amp;IF(DATA0!G9,"ある。","ない。")</f>
        <v>○算出地点におけるビル・鉄塔等による反射の恐れはない。</v>
      </c>
    </row>
    <row r="98" spans="2:4" ht="13.5">
      <c r="B98" s="63" t="s">
        <v>190</v>
      </c>
      <c r="C98" s="77">
        <v>29.428571428571427</v>
      </c>
      <c r="D98" s="63" t="str">
        <f>D14</f>
        <v>[V/m]</v>
      </c>
    </row>
    <row r="99" spans="2:9" ht="13.5">
      <c r="B99" s="63" t="s">
        <v>191</v>
      </c>
      <c r="E99" s="73">
        <v>160.73596673696463</v>
      </c>
      <c r="F99" s="63" t="str">
        <f>D98</f>
        <v>[V/m]</v>
      </c>
      <c r="G99" s="63" t="s">
        <v>192</v>
      </c>
      <c r="I99" s="63" t="s">
        <v>222</v>
      </c>
    </row>
    <row r="100" spans="2:7" ht="13.5">
      <c r="B100" s="63" t="str">
        <f>IF(I99="している。","","基準値を充足するためには、空中線の位置から")</f>
        <v>基準値を充足するためには、空中線の位置から</v>
      </c>
      <c r="F100" s="68">
        <v>47.61642055874803</v>
      </c>
      <c r="G100" s="63" t="str">
        <f>IF(I99="している。","","ｍ以内に出入りさせない必要がある。")</f>
        <v>ｍ以内に出入りさせない必要がある。</v>
      </c>
    </row>
    <row r="101" spans="1:9" ht="13.5">
      <c r="A101" s="80">
        <v>9</v>
      </c>
      <c r="B101" s="63" t="str">
        <f>IF(A101=0,"",IF(A101=9,"指向性及び空中線を考慮した算出はできない。",IF(A101=1,"指向性による減衰を考慮した場合、算出結果は","空中線の種類から算出した場合の算出結果は、")))</f>
        <v>指向性及び空中線を考慮した算出はできない。</v>
      </c>
      <c r="G101" s="63">
        <f>IF(OR(A101=9,A101=0),"","であり、基準値を充足")</f>
      </c>
      <c r="I101" s="78"/>
    </row>
    <row r="102" spans="2:7" ht="13.5">
      <c r="B102" s="63">
        <f>IF(AND(OR(A101=1,A101=2),I101="していない。"),"基準値を充足するためには、空中線の位置から","")</f>
      </c>
      <c r="G102" s="63">
        <f>IF(B102="","","ｍ以内に出入りさせない必要がある。")</f>
      </c>
    </row>
    <row r="103" spans="1:9" ht="13.5">
      <c r="A103" s="80">
        <v>1</v>
      </c>
      <c r="B103" s="63" t="str">
        <f>IF(A103=0,"","次に、空間的平均値により算出してみると、")</f>
        <v>次に、空間的平均値により算出してみると、</v>
      </c>
      <c r="F103" s="63">
        <v>146.5954759045701</v>
      </c>
      <c r="G103" s="63" t="str">
        <f>IF(A103=0,"",IF(A101=1,"　（","となり、"))</f>
        <v>となり、</v>
      </c>
      <c r="I103" s="63">
        <f>IF(G103="　（","）となり、","")</f>
      </c>
    </row>
    <row r="104" ht="13.5">
      <c r="B104" s="63" t="s">
        <v>223</v>
      </c>
    </row>
  </sheetData>
  <sheetProtection/>
  <printOptions/>
  <pageMargins left="0.3937007874015748" right="0.1968503937007874" top="0.984251968503937" bottom="0.984251968503937" header="0.5118110236220472" footer="0.5118110236220472"/>
  <pageSetup horizontalDpi="360" verticalDpi="360" orientation="portrait" paperSize="9" r:id="rId1"/>
</worksheet>
</file>

<file path=xl/worksheets/sheet16.xml><?xml version="1.0" encoding="utf-8"?>
<worksheet xmlns="http://schemas.openxmlformats.org/spreadsheetml/2006/main" xmlns:r="http://schemas.openxmlformats.org/officeDocument/2006/relationships">
  <dimension ref="A1:P1"/>
  <sheetViews>
    <sheetView zoomScalePageLayoutView="0" workbookViewId="0" topLeftCell="A1">
      <selection activeCell="A1" sqref="A1:P2"/>
    </sheetView>
  </sheetViews>
  <sheetFormatPr defaultColWidth="8.796875" defaultRowHeight="14.25"/>
  <cols>
    <col min="1" max="1" width="22.5" style="54" customWidth="1"/>
    <col min="2" max="2" width="8.59765625" style="0" customWidth="1"/>
    <col min="3" max="4" width="7" style="0" customWidth="1"/>
    <col min="9" max="9" width="9" style="55" customWidth="1"/>
    <col min="11" max="11" width="0" style="0" hidden="1" customWidth="1"/>
    <col min="13" max="14" width="0" style="0" hidden="1" customWidth="1"/>
    <col min="15" max="15" width="4.8984375" style="55" customWidth="1"/>
  </cols>
  <sheetData>
    <row r="1" spans="1:16" s="52" customFormat="1" ht="27">
      <c r="A1" s="56" t="s">
        <v>200</v>
      </c>
      <c r="B1" s="57" t="s">
        <v>201</v>
      </c>
      <c r="C1" s="57" t="s">
        <v>202</v>
      </c>
      <c r="D1" s="57" t="s">
        <v>203</v>
      </c>
      <c r="E1" s="57" t="s">
        <v>204</v>
      </c>
      <c r="F1" s="57" t="s">
        <v>205</v>
      </c>
      <c r="G1" s="57" t="s">
        <v>141</v>
      </c>
      <c r="H1" s="57" t="s">
        <v>3</v>
      </c>
      <c r="I1" s="58" t="s">
        <v>206</v>
      </c>
      <c r="J1" s="58" t="s">
        <v>207</v>
      </c>
      <c r="K1" s="58" t="s">
        <v>208</v>
      </c>
      <c r="L1" s="58" t="s">
        <v>209</v>
      </c>
      <c r="M1" s="58" t="s">
        <v>210</v>
      </c>
      <c r="N1" s="58" t="s">
        <v>211</v>
      </c>
      <c r="O1" s="57" t="s">
        <v>212</v>
      </c>
      <c r="P1" s="58" t="s">
        <v>144</v>
      </c>
    </row>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row r="2505" ht="18" customHeight="1"/>
    <row r="2506" ht="18" customHeight="1"/>
    <row r="2507" ht="18" customHeight="1"/>
    <row r="2508" ht="18" customHeight="1"/>
    <row r="2509" ht="18" customHeight="1"/>
    <row r="2510" ht="18" customHeight="1"/>
    <row r="2511" ht="18" customHeight="1"/>
    <row r="2512" ht="18" customHeight="1"/>
    <row r="2513" ht="18" customHeight="1"/>
    <row r="2514" ht="18" customHeight="1"/>
    <row r="2515" ht="18" customHeight="1"/>
    <row r="2516" ht="18" customHeight="1"/>
    <row r="2517" ht="18" customHeight="1"/>
    <row r="2518" ht="18" customHeight="1"/>
    <row r="2519" ht="18" customHeight="1"/>
    <row r="2520" ht="18" customHeight="1"/>
    <row r="2521" ht="18" customHeight="1"/>
    <row r="2522" ht="18" customHeight="1"/>
    <row r="2523" ht="18" customHeight="1"/>
    <row r="2524" ht="18" customHeight="1"/>
    <row r="2525" ht="18" customHeight="1"/>
    <row r="2526" ht="18" customHeight="1"/>
    <row r="2527" ht="18" customHeight="1"/>
    <row r="2528" ht="18" customHeight="1"/>
    <row r="2529" ht="18" customHeight="1"/>
    <row r="2530" ht="18" customHeight="1"/>
    <row r="2531" ht="18" customHeight="1"/>
    <row r="2532" ht="18" customHeight="1"/>
    <row r="2533" ht="18" customHeight="1"/>
    <row r="2534" ht="18" customHeight="1"/>
    <row r="2535" ht="18" customHeight="1"/>
    <row r="2536" ht="18" customHeight="1"/>
    <row r="2537" ht="18" customHeight="1"/>
    <row r="2538" ht="18" customHeight="1"/>
    <row r="2539" ht="18" customHeight="1"/>
    <row r="2540" ht="18" customHeight="1"/>
    <row r="2541" ht="18" customHeight="1"/>
    <row r="2542" ht="18" customHeight="1"/>
    <row r="2543" ht="18" customHeight="1"/>
    <row r="2544" ht="18" customHeight="1"/>
    <row r="2545" ht="18" customHeight="1"/>
    <row r="2546" ht="18" customHeight="1"/>
    <row r="2547" ht="18" customHeight="1"/>
    <row r="2548" ht="18" customHeight="1"/>
    <row r="2549" ht="18" customHeight="1"/>
    <row r="2550" ht="18" customHeight="1"/>
    <row r="2551" ht="18" customHeight="1"/>
    <row r="2552" ht="18" customHeight="1"/>
    <row r="2553" ht="18" customHeight="1"/>
    <row r="2554" ht="18" customHeight="1"/>
    <row r="2555" ht="18" customHeight="1"/>
    <row r="2556" ht="18" customHeight="1"/>
    <row r="2557" ht="18" customHeight="1"/>
    <row r="2558" ht="18" customHeight="1"/>
    <row r="2559" ht="18" customHeight="1"/>
    <row r="2560" ht="18" customHeight="1"/>
    <row r="2561" ht="18" customHeight="1"/>
    <row r="2562" ht="18" customHeight="1"/>
    <row r="2563" ht="18" customHeight="1"/>
    <row r="2564" ht="18" customHeight="1"/>
    <row r="2565" ht="18" customHeight="1"/>
    <row r="2566" ht="18" customHeight="1"/>
    <row r="2567" ht="18" customHeight="1"/>
    <row r="2568" ht="18" customHeight="1"/>
    <row r="2569" ht="18" customHeight="1"/>
    <row r="2570" ht="18" customHeight="1"/>
    <row r="2571" ht="18" customHeight="1"/>
    <row r="2572" ht="18" customHeight="1"/>
    <row r="2573" ht="18" customHeight="1"/>
    <row r="2574" ht="18" customHeight="1"/>
    <row r="2575" ht="18" customHeight="1"/>
    <row r="2576" ht="18" customHeight="1"/>
    <row r="2577" ht="18" customHeight="1"/>
    <row r="2578" ht="18" customHeight="1"/>
    <row r="2579" ht="18" customHeight="1"/>
    <row r="2580" ht="18" customHeight="1"/>
    <row r="2581" ht="18" customHeight="1"/>
    <row r="2582" ht="18" customHeight="1"/>
    <row r="2583" ht="18" customHeight="1"/>
    <row r="2584" ht="18" customHeight="1"/>
    <row r="2585" ht="18" customHeight="1"/>
    <row r="2586" ht="18" customHeight="1"/>
    <row r="2587" ht="18" customHeight="1"/>
    <row r="2588" ht="18" customHeight="1"/>
    <row r="2589" ht="18" customHeight="1"/>
    <row r="2590" ht="18" customHeight="1"/>
    <row r="2591" ht="18" customHeight="1"/>
    <row r="2592" ht="18" customHeight="1"/>
    <row r="2593" ht="18" customHeight="1"/>
    <row r="2594" ht="18" customHeight="1"/>
    <row r="2595" ht="18" customHeight="1"/>
    <row r="2596" ht="18" customHeight="1"/>
    <row r="2597" ht="18" customHeight="1"/>
    <row r="2598" ht="18" customHeight="1"/>
    <row r="2599" ht="18" customHeight="1"/>
    <row r="2600" ht="18" customHeight="1"/>
    <row r="2601" ht="18" customHeight="1"/>
    <row r="2602" ht="18" customHeight="1"/>
    <row r="2603" ht="18" customHeight="1"/>
    <row r="2604" ht="18" customHeight="1"/>
    <row r="2605" ht="18" customHeight="1"/>
    <row r="2606" ht="18" customHeight="1"/>
    <row r="2607" ht="18" customHeight="1"/>
    <row r="2608" ht="18" customHeight="1"/>
    <row r="2609" ht="18" customHeight="1"/>
    <row r="2610" ht="18" customHeight="1"/>
    <row r="2611" ht="18" customHeight="1"/>
    <row r="2612" ht="18" customHeight="1"/>
    <row r="2613" ht="18" customHeight="1"/>
    <row r="2614" ht="18" customHeight="1"/>
    <row r="2615" ht="18" customHeight="1"/>
    <row r="2616" ht="18" customHeight="1"/>
    <row r="2617" ht="18" customHeight="1"/>
    <row r="2618" ht="18" customHeight="1"/>
    <row r="2619" ht="18" customHeight="1"/>
    <row r="2620" ht="18" customHeight="1"/>
    <row r="2621" ht="18" customHeight="1"/>
    <row r="2622" ht="18" customHeight="1"/>
    <row r="2623" ht="18" customHeight="1"/>
    <row r="2624" ht="18" customHeight="1"/>
    <row r="2625" ht="18" customHeight="1"/>
    <row r="2626" ht="18" customHeight="1"/>
    <row r="2627" ht="18" customHeight="1"/>
    <row r="2628" ht="18" customHeight="1"/>
    <row r="2629" ht="18" customHeight="1"/>
    <row r="2630" ht="18" customHeight="1"/>
    <row r="2631" ht="18" customHeight="1"/>
    <row r="2632" ht="18" customHeight="1"/>
    <row r="2633" ht="18" customHeight="1"/>
    <row r="2634" ht="18" customHeight="1"/>
    <row r="2635" ht="18" customHeight="1"/>
    <row r="2636" ht="18" customHeight="1"/>
    <row r="2637" ht="18" customHeight="1"/>
    <row r="2638" ht="18" customHeight="1"/>
    <row r="2639" ht="18" customHeight="1"/>
    <row r="2640" ht="18" customHeight="1"/>
    <row r="2641" ht="18" customHeight="1"/>
    <row r="2642" ht="18" customHeight="1"/>
    <row r="2643" ht="18" customHeight="1"/>
    <row r="2644" ht="18" customHeight="1"/>
    <row r="2645" ht="18" customHeight="1"/>
    <row r="2646" ht="18" customHeight="1"/>
    <row r="2647" ht="18" customHeight="1"/>
    <row r="2648" ht="18" customHeight="1"/>
    <row r="2649" ht="18" customHeight="1"/>
    <row r="2650" ht="18" customHeight="1"/>
    <row r="2651" ht="18" customHeight="1"/>
    <row r="2652" ht="18" customHeight="1"/>
    <row r="2653" ht="18" customHeight="1"/>
    <row r="2654" ht="18" customHeight="1"/>
    <row r="2655" ht="18" customHeight="1"/>
    <row r="2656" ht="18" customHeight="1"/>
    <row r="2657" ht="18" customHeight="1"/>
    <row r="2658" ht="18" customHeight="1"/>
    <row r="2659" ht="18" customHeight="1"/>
    <row r="2660" ht="18" customHeight="1"/>
    <row r="2661" ht="18" customHeight="1"/>
    <row r="2662" ht="18" customHeight="1"/>
    <row r="2663" ht="18" customHeight="1"/>
    <row r="2664" ht="18" customHeight="1"/>
    <row r="2665" ht="18" customHeight="1"/>
    <row r="2666" ht="18" customHeight="1"/>
    <row r="2667" ht="18" customHeight="1"/>
    <row r="2668" ht="18" customHeight="1"/>
    <row r="2669" ht="18" customHeight="1"/>
    <row r="2670" ht="18" customHeight="1"/>
    <row r="2671" ht="18" customHeight="1"/>
    <row r="2672" ht="18" customHeight="1"/>
    <row r="2673" ht="18" customHeight="1"/>
    <row r="2674" ht="18" customHeight="1"/>
    <row r="2675" ht="18" customHeight="1"/>
    <row r="2676" ht="18" customHeight="1"/>
    <row r="2677" ht="18" customHeight="1"/>
    <row r="2678" ht="18" customHeight="1"/>
    <row r="2679" ht="18" customHeight="1"/>
    <row r="2680" ht="18" customHeight="1"/>
    <row r="2681" ht="18" customHeight="1"/>
    <row r="2682" ht="18" customHeight="1"/>
    <row r="2683" ht="18" customHeight="1"/>
    <row r="2684" ht="18" customHeight="1"/>
    <row r="2685" ht="18" customHeight="1"/>
    <row r="2686" ht="18" customHeight="1"/>
    <row r="2687" ht="18" customHeight="1"/>
    <row r="2688" ht="18" customHeight="1"/>
    <row r="2689" ht="18" customHeight="1"/>
    <row r="2690" ht="18" customHeight="1"/>
    <row r="2691" ht="18" customHeight="1"/>
    <row r="2692" ht="18" customHeight="1"/>
    <row r="2693" ht="18" customHeight="1"/>
    <row r="2694" ht="18" customHeight="1"/>
    <row r="2695" ht="18" customHeight="1"/>
    <row r="2696" ht="18" customHeight="1"/>
    <row r="2697" ht="18" customHeight="1"/>
    <row r="2698" ht="18" customHeight="1"/>
    <row r="2699" ht="18" customHeight="1"/>
    <row r="2700" ht="18" customHeight="1"/>
    <row r="2701" ht="18" customHeight="1"/>
    <row r="2702" ht="18" customHeight="1"/>
    <row r="2703" ht="18" customHeight="1"/>
    <row r="2704" ht="18" customHeight="1"/>
    <row r="2705" ht="18" customHeight="1"/>
    <row r="2706" ht="18" customHeight="1"/>
    <row r="2707" ht="18" customHeight="1"/>
    <row r="2708" ht="18" customHeight="1"/>
    <row r="2709" ht="18" customHeight="1"/>
    <row r="2710" ht="18" customHeight="1"/>
    <row r="2711" ht="18" customHeight="1"/>
    <row r="2712" ht="18" customHeight="1"/>
    <row r="2713" ht="18" customHeight="1"/>
    <row r="2714" ht="18" customHeight="1"/>
    <row r="2715" ht="18" customHeight="1"/>
    <row r="2716" ht="18" customHeight="1"/>
    <row r="2717" ht="18" customHeight="1"/>
    <row r="2718" ht="18" customHeight="1"/>
    <row r="2719" ht="18" customHeight="1"/>
    <row r="2720" ht="18" customHeight="1"/>
    <row r="2721" ht="18" customHeight="1"/>
    <row r="2722" ht="18" customHeight="1"/>
    <row r="2723" ht="18" customHeight="1"/>
    <row r="2724" ht="18" customHeight="1"/>
    <row r="2725" ht="18" customHeight="1"/>
    <row r="2726" ht="18" customHeight="1"/>
    <row r="2727" ht="18" customHeight="1"/>
    <row r="2728" ht="18" customHeight="1"/>
    <row r="2729" ht="18" customHeight="1"/>
    <row r="2730" ht="18" customHeight="1"/>
    <row r="2731" ht="18" customHeight="1"/>
    <row r="2732" ht="18" customHeight="1"/>
    <row r="2733" ht="18" customHeight="1"/>
    <row r="2734" ht="18" customHeight="1"/>
    <row r="2735" ht="18" customHeight="1"/>
    <row r="2736" ht="18" customHeight="1"/>
    <row r="2737" ht="18" customHeight="1"/>
    <row r="2738" ht="18" customHeight="1"/>
    <row r="2739" ht="18" customHeight="1"/>
    <row r="2740" ht="18" customHeight="1"/>
    <row r="2741" ht="18" customHeight="1"/>
    <row r="2742" ht="18" customHeight="1"/>
    <row r="2743" ht="18" customHeight="1"/>
    <row r="2744" ht="18" customHeight="1"/>
    <row r="2745" ht="18" customHeight="1"/>
    <row r="2746" ht="18" customHeight="1"/>
    <row r="2747" ht="18" customHeight="1"/>
    <row r="2748" ht="18" customHeight="1"/>
    <row r="2749" ht="18" customHeight="1"/>
    <row r="2750" ht="18" customHeight="1"/>
    <row r="2751" ht="18" customHeight="1"/>
    <row r="2752" ht="18" customHeight="1"/>
    <row r="2753" ht="18" customHeight="1"/>
    <row r="2754" ht="18" customHeight="1"/>
    <row r="2755" ht="18" customHeight="1"/>
    <row r="2756" ht="18" customHeight="1"/>
    <row r="2757" ht="18" customHeight="1"/>
    <row r="2758" ht="18" customHeight="1"/>
    <row r="2759" ht="18" customHeight="1"/>
    <row r="2760" ht="18" customHeight="1"/>
    <row r="2761" ht="18" customHeight="1"/>
    <row r="2762" ht="18" customHeight="1"/>
    <row r="2763" ht="18" customHeight="1"/>
    <row r="2764" ht="18" customHeight="1"/>
    <row r="2765" ht="18" customHeight="1"/>
    <row r="2766" ht="18" customHeight="1"/>
    <row r="2767" ht="18" customHeight="1"/>
    <row r="2768" ht="18" customHeight="1"/>
    <row r="2769" ht="18" customHeight="1"/>
    <row r="2770" ht="18" customHeight="1"/>
    <row r="2771" ht="18" customHeight="1"/>
    <row r="2772" ht="18" customHeight="1"/>
    <row r="2773" ht="18" customHeight="1"/>
    <row r="2774" ht="18" customHeight="1"/>
    <row r="2775" ht="18" customHeight="1"/>
    <row r="2776" ht="18" customHeight="1"/>
    <row r="2777" ht="18" customHeight="1"/>
    <row r="2778" ht="18" customHeight="1"/>
    <row r="2779" ht="18" customHeight="1"/>
    <row r="2780" ht="18" customHeight="1"/>
    <row r="2781" ht="18" customHeight="1"/>
    <row r="2782" ht="18" customHeight="1"/>
    <row r="2783" ht="18" customHeight="1"/>
    <row r="2784" ht="18" customHeight="1"/>
    <row r="2785" ht="18" customHeight="1"/>
    <row r="2786" ht="18" customHeight="1"/>
    <row r="2787" ht="18" customHeight="1"/>
    <row r="2788" ht="18" customHeight="1"/>
    <row r="2789" ht="18" customHeight="1"/>
    <row r="2790" ht="18" customHeight="1"/>
    <row r="2791" ht="18" customHeight="1"/>
    <row r="2792" ht="18" customHeight="1"/>
    <row r="2793" ht="18" customHeight="1"/>
    <row r="2794" ht="18" customHeight="1"/>
    <row r="2795" ht="18" customHeight="1"/>
    <row r="2796" ht="18" customHeight="1"/>
    <row r="2797" ht="18" customHeight="1"/>
    <row r="2798" ht="18" customHeight="1"/>
    <row r="2799" ht="18" customHeight="1"/>
    <row r="2800" ht="18" customHeight="1"/>
    <row r="2801" ht="18" customHeight="1"/>
    <row r="2802" ht="18" customHeight="1"/>
    <row r="2803" ht="18" customHeight="1"/>
    <row r="2804" ht="18" customHeight="1"/>
    <row r="2805" ht="18" customHeight="1"/>
    <row r="2806" ht="18" customHeight="1"/>
    <row r="2807" ht="18" customHeight="1"/>
    <row r="2808" ht="18" customHeight="1"/>
    <row r="2809" ht="18" customHeight="1"/>
    <row r="2810" ht="18" customHeight="1"/>
    <row r="2811" ht="18" customHeight="1"/>
    <row r="2812" ht="18" customHeight="1"/>
    <row r="2813" ht="18" customHeight="1"/>
    <row r="2814" ht="18" customHeight="1"/>
    <row r="2815" ht="18" customHeight="1"/>
    <row r="2816" ht="18" customHeight="1"/>
    <row r="2817" ht="18" customHeight="1"/>
    <row r="2818" ht="18" customHeight="1"/>
    <row r="2819" ht="18" customHeight="1"/>
    <row r="2820" ht="18" customHeight="1"/>
    <row r="2821" ht="18" customHeight="1"/>
    <row r="2822" ht="18" customHeight="1"/>
    <row r="2823" ht="18" customHeight="1"/>
    <row r="2824" ht="18" customHeight="1"/>
    <row r="2825" ht="18" customHeight="1"/>
    <row r="2826" ht="18" customHeight="1"/>
    <row r="2827" ht="18" customHeight="1"/>
    <row r="2828" ht="18" customHeight="1"/>
    <row r="2829" ht="18" customHeight="1"/>
    <row r="2830" ht="18" customHeight="1"/>
    <row r="2831" ht="18" customHeight="1"/>
    <row r="2832" ht="18" customHeight="1"/>
    <row r="2833" ht="18" customHeight="1"/>
    <row r="2834" ht="18" customHeight="1"/>
    <row r="2835" ht="18" customHeight="1"/>
    <row r="2836" ht="18" customHeight="1"/>
    <row r="2837" ht="18" customHeight="1"/>
    <row r="2838" ht="18" customHeight="1"/>
    <row r="2839" ht="18" customHeight="1"/>
    <row r="2840" ht="18" customHeight="1"/>
    <row r="2841" ht="18" customHeight="1"/>
    <row r="2842" ht="18" customHeight="1"/>
    <row r="2843" ht="18" customHeight="1"/>
    <row r="2844" ht="18" customHeight="1"/>
    <row r="2845" ht="18" customHeight="1"/>
    <row r="2846" ht="18" customHeight="1"/>
    <row r="2847" ht="18" customHeight="1"/>
    <row r="2848" ht="18" customHeight="1"/>
    <row r="2849" ht="18" customHeight="1"/>
    <row r="2850" ht="18" customHeight="1"/>
    <row r="2851" ht="18" customHeight="1"/>
    <row r="2852" ht="18" customHeight="1"/>
    <row r="2853" ht="18" customHeight="1"/>
    <row r="2854" ht="18" customHeight="1"/>
    <row r="2855" ht="18" customHeight="1"/>
    <row r="2856" ht="18" customHeight="1"/>
    <row r="2857" ht="18" customHeight="1"/>
    <row r="2858" ht="18" customHeight="1"/>
    <row r="2859" ht="18" customHeight="1"/>
    <row r="2860" ht="18" customHeight="1"/>
    <row r="2861" ht="18" customHeight="1"/>
    <row r="2862" ht="18" customHeight="1"/>
    <row r="2863" ht="18" customHeight="1"/>
    <row r="2864" ht="18" customHeight="1"/>
    <row r="2865" ht="18" customHeight="1"/>
    <row r="2866" ht="18" customHeight="1"/>
    <row r="2867" ht="18" customHeight="1"/>
    <row r="2868" ht="18" customHeight="1"/>
    <row r="2869" ht="18" customHeight="1"/>
    <row r="2870" ht="18" customHeight="1"/>
    <row r="2871" ht="18" customHeight="1"/>
    <row r="2872" ht="18" customHeight="1"/>
    <row r="2873" ht="18" customHeight="1"/>
    <row r="2874" ht="18" customHeight="1"/>
    <row r="2875" ht="18" customHeight="1"/>
    <row r="2876" ht="18" customHeight="1"/>
    <row r="2877" ht="18" customHeight="1"/>
    <row r="2878" ht="18" customHeight="1"/>
    <row r="2879" ht="18" customHeight="1"/>
    <row r="2880" ht="18" customHeight="1"/>
    <row r="2881" ht="18" customHeight="1"/>
    <row r="2882" ht="18" customHeight="1"/>
    <row r="2883" ht="18" customHeight="1"/>
    <row r="2884" ht="18" customHeight="1"/>
    <row r="2885" ht="18" customHeight="1"/>
    <row r="2886" ht="18" customHeight="1"/>
    <row r="2887" ht="18" customHeight="1"/>
    <row r="2888" ht="18" customHeight="1"/>
    <row r="2889" ht="18" customHeight="1"/>
    <row r="2890" ht="18" customHeight="1"/>
    <row r="2891" ht="18" customHeight="1"/>
    <row r="2892" ht="18" customHeight="1"/>
    <row r="2893" ht="18" customHeight="1"/>
    <row r="2894" ht="18" customHeight="1"/>
    <row r="2895" ht="18" customHeight="1"/>
    <row r="2896" ht="18" customHeight="1"/>
    <row r="2897" ht="18" customHeight="1"/>
    <row r="2898" ht="18" customHeight="1"/>
    <row r="2899" ht="18" customHeight="1"/>
    <row r="2900" ht="18" customHeight="1"/>
    <row r="2901" ht="18" customHeight="1"/>
    <row r="2902" ht="18" customHeight="1"/>
    <row r="2903" ht="18" customHeight="1"/>
    <row r="2904" ht="18" customHeight="1"/>
    <row r="2905" ht="18" customHeight="1"/>
    <row r="2906" ht="18" customHeight="1"/>
    <row r="2907" ht="18" customHeight="1"/>
    <row r="2908" ht="18" customHeight="1"/>
    <row r="2909" ht="18" customHeight="1"/>
    <row r="2910" ht="18" customHeight="1"/>
    <row r="2911" ht="18" customHeight="1"/>
    <row r="2912" ht="18" customHeight="1"/>
    <row r="2913" ht="18" customHeight="1"/>
    <row r="2914" ht="18" customHeight="1"/>
    <row r="2915" ht="18" customHeight="1"/>
    <row r="2916" ht="18" customHeight="1"/>
    <row r="2917" ht="18" customHeight="1"/>
    <row r="2918" ht="18" customHeight="1"/>
    <row r="2919" ht="18" customHeight="1"/>
    <row r="2920" ht="18" customHeight="1"/>
    <row r="2921" ht="18" customHeight="1"/>
    <row r="2922" ht="18" customHeight="1"/>
    <row r="2923" ht="18" customHeight="1"/>
    <row r="2924" ht="18" customHeight="1"/>
    <row r="2925" ht="18" customHeight="1"/>
    <row r="2926" ht="18" customHeight="1"/>
    <row r="2927" ht="18" customHeight="1"/>
    <row r="2928" ht="18" customHeight="1"/>
    <row r="2929" ht="18" customHeight="1"/>
    <row r="2930" ht="18" customHeight="1"/>
    <row r="2931" ht="18" customHeight="1"/>
    <row r="2932" ht="18" customHeight="1"/>
    <row r="2933" ht="18" customHeight="1"/>
    <row r="2934" ht="18" customHeight="1"/>
    <row r="2935" ht="18" customHeight="1"/>
    <row r="2936" ht="18" customHeight="1"/>
    <row r="2937" ht="18" customHeight="1"/>
    <row r="2938" ht="18" customHeight="1"/>
    <row r="2939" ht="18" customHeight="1"/>
    <row r="2940" ht="18" customHeight="1"/>
    <row r="2941" ht="18" customHeight="1"/>
    <row r="2942" ht="18" customHeight="1"/>
    <row r="2943" ht="18" customHeight="1"/>
    <row r="2944" ht="18" customHeight="1"/>
    <row r="2945" ht="18" customHeight="1"/>
    <row r="2946" ht="18" customHeight="1"/>
    <row r="2947" ht="18" customHeight="1"/>
    <row r="2948" ht="18" customHeight="1"/>
    <row r="2949" ht="18" customHeight="1"/>
    <row r="2950" ht="18" customHeight="1"/>
    <row r="2951" ht="18" customHeight="1"/>
    <row r="2952" ht="18" customHeight="1"/>
    <row r="2953" ht="18" customHeight="1"/>
    <row r="2954" ht="18" customHeight="1"/>
    <row r="2955" ht="18" customHeight="1"/>
    <row r="2956" ht="18" customHeight="1"/>
    <row r="2957" ht="18" customHeight="1"/>
    <row r="2958" ht="18" customHeight="1"/>
    <row r="2959" ht="18" customHeight="1"/>
    <row r="2960" ht="18" customHeight="1"/>
    <row r="2961" ht="18" customHeight="1"/>
    <row r="2962" ht="18" customHeight="1"/>
    <row r="2963" ht="18" customHeight="1"/>
    <row r="2964" ht="18" customHeight="1"/>
    <row r="2965" ht="18" customHeight="1"/>
    <row r="2966" ht="18" customHeight="1"/>
    <row r="2967" ht="18" customHeight="1"/>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row r="3175" ht="18" customHeight="1"/>
    <row r="3176" ht="18" customHeight="1"/>
    <row r="3177" ht="18" customHeight="1"/>
    <row r="3178" ht="18" customHeight="1"/>
    <row r="3179" ht="18" customHeight="1"/>
    <row r="3180" ht="18" customHeight="1"/>
    <row r="3181" ht="18" customHeight="1"/>
    <row r="3182" ht="18" customHeight="1"/>
    <row r="3183" ht="18" customHeight="1"/>
    <row r="3184" ht="18" customHeight="1"/>
    <row r="3185" ht="18" customHeight="1"/>
    <row r="3186" ht="18" customHeight="1"/>
    <row r="3187" ht="18" customHeight="1"/>
    <row r="3188" ht="18" customHeight="1"/>
    <row r="3189" ht="18" customHeight="1"/>
    <row r="3190" ht="18" customHeight="1"/>
    <row r="3191" ht="18" customHeight="1"/>
    <row r="3192" ht="18" customHeight="1"/>
    <row r="3193" ht="18" customHeight="1"/>
    <row r="3194" ht="18" customHeight="1"/>
    <row r="3195" ht="18" customHeight="1"/>
    <row r="3196" ht="18" customHeight="1"/>
    <row r="3197" ht="18" customHeight="1"/>
    <row r="3198" ht="18" customHeight="1"/>
    <row r="3199" ht="18" customHeight="1"/>
    <row r="3200" ht="18" customHeight="1"/>
    <row r="3201" ht="18" customHeight="1"/>
    <row r="3202" ht="18" customHeight="1"/>
    <row r="3203" ht="18" customHeight="1"/>
    <row r="3204" ht="18" customHeight="1"/>
    <row r="3205" ht="18" customHeight="1"/>
    <row r="3206" ht="18" customHeight="1"/>
    <row r="3207" ht="18" customHeight="1"/>
    <row r="3208" ht="18" customHeight="1"/>
    <row r="3209" ht="18" customHeight="1"/>
    <row r="3210" ht="18" customHeight="1"/>
    <row r="3211" ht="18" customHeight="1"/>
    <row r="3212" ht="18" customHeight="1"/>
    <row r="3213" ht="18" customHeight="1"/>
    <row r="3214" ht="18" customHeight="1"/>
    <row r="3215" ht="18" customHeight="1"/>
    <row r="3216" ht="18" customHeight="1"/>
    <row r="3217" ht="18" customHeight="1"/>
    <row r="3218" ht="18" customHeight="1"/>
    <row r="3219" ht="18" customHeight="1"/>
    <row r="3220" ht="18" customHeight="1"/>
    <row r="3221" ht="18" customHeight="1"/>
    <row r="3222" ht="18" customHeight="1"/>
    <row r="3223" ht="18" customHeight="1"/>
    <row r="3224" ht="18" customHeight="1"/>
    <row r="3225" ht="18" customHeight="1"/>
    <row r="3226" ht="18" customHeight="1"/>
    <row r="3227" ht="18" customHeight="1"/>
    <row r="3228" ht="18" customHeight="1"/>
    <row r="3229" ht="18" customHeight="1"/>
    <row r="3230" ht="18" customHeight="1"/>
    <row r="3231" ht="18" customHeight="1"/>
    <row r="3232" ht="18" customHeight="1"/>
    <row r="3233" ht="18" customHeight="1"/>
    <row r="3234" ht="18" customHeight="1"/>
    <row r="3235" ht="18" customHeight="1"/>
    <row r="3236" ht="18" customHeight="1"/>
    <row r="3237" ht="18" customHeight="1"/>
    <row r="3238" ht="18" customHeight="1"/>
    <row r="3239" ht="18" customHeight="1"/>
    <row r="3240" ht="18" customHeight="1"/>
    <row r="3241" ht="18" customHeight="1"/>
    <row r="3242" ht="18" customHeight="1"/>
    <row r="3243" ht="18" customHeight="1"/>
    <row r="3244" ht="18" customHeight="1"/>
    <row r="3245" ht="18" customHeight="1"/>
    <row r="3246" ht="18" customHeight="1"/>
    <row r="3247" ht="18" customHeight="1"/>
    <row r="3248" ht="18" customHeight="1"/>
    <row r="3249" ht="18" customHeight="1"/>
    <row r="3250" ht="18" customHeight="1"/>
    <row r="3251" ht="18" customHeight="1"/>
    <row r="3252" ht="18" customHeight="1"/>
    <row r="3253" ht="18" customHeight="1"/>
    <row r="3254" ht="18" customHeight="1"/>
    <row r="3255" ht="18" customHeight="1"/>
    <row r="3256" ht="18" customHeight="1"/>
    <row r="3257" ht="18" customHeight="1"/>
    <row r="3258" ht="18" customHeight="1"/>
    <row r="3259" ht="18" customHeight="1"/>
    <row r="3260" ht="18" customHeight="1"/>
    <row r="3261" ht="18" customHeight="1"/>
    <row r="3262" ht="18" customHeight="1"/>
    <row r="3263" ht="18" customHeight="1"/>
    <row r="3264" ht="18" customHeight="1"/>
    <row r="3265" ht="18" customHeight="1"/>
    <row r="3266" ht="18" customHeight="1"/>
    <row r="3267" ht="18" customHeight="1"/>
    <row r="3268" ht="18" customHeight="1"/>
    <row r="3269" ht="18" customHeight="1"/>
    <row r="3270" ht="18" customHeight="1"/>
    <row r="3271" ht="18" customHeight="1"/>
    <row r="3272" ht="18" customHeight="1"/>
    <row r="3273" ht="18" customHeight="1"/>
    <row r="3274" ht="18" customHeight="1"/>
    <row r="3275" ht="18" customHeight="1"/>
    <row r="3276" ht="18" customHeight="1"/>
    <row r="3277" ht="18" customHeight="1"/>
    <row r="3278" ht="18" customHeight="1"/>
    <row r="3279" ht="18" customHeight="1"/>
    <row r="3280" ht="18" customHeight="1"/>
    <row r="3281" ht="18" customHeight="1"/>
    <row r="3282" ht="18" customHeight="1"/>
    <row r="3283" ht="18" customHeight="1"/>
    <row r="3284" ht="18" customHeight="1"/>
    <row r="3285" ht="18" customHeight="1"/>
    <row r="3286" ht="18" customHeight="1"/>
    <row r="3287" ht="18" customHeight="1"/>
    <row r="3288" ht="18" customHeight="1"/>
    <row r="3289" ht="18" customHeight="1"/>
    <row r="3290" ht="18" customHeight="1"/>
    <row r="3291" ht="18" customHeight="1"/>
    <row r="3292" ht="18" customHeight="1"/>
    <row r="3293" ht="18" customHeight="1"/>
    <row r="3294" ht="18" customHeight="1"/>
    <row r="3295" ht="18" customHeight="1"/>
    <row r="3296" ht="18" customHeight="1"/>
    <row r="3297" ht="18" customHeight="1"/>
    <row r="3298" ht="18" customHeight="1"/>
    <row r="3299" ht="18" customHeight="1"/>
    <row r="3300" ht="18" customHeight="1"/>
    <row r="3301" ht="18" customHeight="1"/>
    <row r="3302" ht="18" customHeight="1"/>
    <row r="3303" ht="18" customHeight="1"/>
    <row r="3304" ht="18" customHeight="1"/>
    <row r="3305" ht="18" customHeight="1"/>
    <row r="3306" ht="18" customHeight="1"/>
    <row r="3307" ht="18" customHeight="1"/>
    <row r="3308" ht="18" customHeight="1"/>
    <row r="3309" ht="18" customHeight="1"/>
    <row r="3310" ht="18" customHeight="1"/>
    <row r="3311" ht="18" customHeight="1"/>
    <row r="3312" ht="18" customHeight="1"/>
    <row r="3313" ht="18" customHeight="1"/>
    <row r="3314" ht="18" customHeight="1"/>
    <row r="3315" ht="18" customHeight="1"/>
    <row r="3316" ht="18" customHeight="1"/>
    <row r="3317" ht="18" customHeight="1"/>
    <row r="3318" ht="18" customHeight="1"/>
    <row r="3319" ht="18" customHeight="1"/>
    <row r="3320" ht="18" customHeight="1"/>
    <row r="3321" ht="18" customHeight="1"/>
    <row r="3322" ht="18" customHeight="1"/>
    <row r="3323" ht="18" customHeight="1"/>
    <row r="3324" ht="18" customHeight="1"/>
    <row r="3325" ht="18" customHeight="1"/>
    <row r="3326" ht="18" customHeight="1"/>
    <row r="3327" ht="18" customHeight="1"/>
    <row r="3328" ht="18" customHeight="1"/>
    <row r="3329" ht="18" customHeight="1"/>
    <row r="3330" ht="18" customHeight="1"/>
    <row r="3331" ht="18" customHeight="1"/>
    <row r="3332" ht="18" customHeight="1"/>
    <row r="3333" ht="18" customHeight="1"/>
    <row r="3334" ht="18" customHeight="1"/>
    <row r="3335" ht="18" customHeight="1"/>
    <row r="3336" ht="18" customHeight="1"/>
    <row r="3337" ht="18" customHeight="1"/>
    <row r="3338" ht="18" customHeight="1"/>
    <row r="3339" ht="18" customHeight="1"/>
    <row r="3340" ht="18" customHeight="1"/>
    <row r="3341" ht="18" customHeight="1"/>
    <row r="3342" ht="18" customHeight="1"/>
    <row r="3343" ht="18" customHeight="1"/>
    <row r="3344" ht="18" customHeight="1"/>
    <row r="3345" ht="18" customHeight="1"/>
    <row r="3346" ht="18" customHeight="1"/>
    <row r="3347" ht="18" customHeight="1"/>
    <row r="3348" ht="18" customHeight="1"/>
    <row r="3349" ht="18" customHeight="1"/>
    <row r="3350" ht="18" customHeight="1"/>
    <row r="3351" ht="18" customHeight="1"/>
    <row r="3352" ht="18" customHeight="1"/>
    <row r="3353" ht="18" customHeight="1"/>
    <row r="3354" ht="18" customHeight="1"/>
    <row r="3355" ht="18" customHeight="1"/>
    <row r="3356" ht="18" customHeight="1"/>
    <row r="3357" ht="18" customHeight="1"/>
    <row r="3358" ht="18" customHeight="1"/>
    <row r="3359" ht="18" customHeight="1"/>
    <row r="3360" ht="18" customHeight="1"/>
    <row r="3361" ht="18" customHeight="1"/>
    <row r="3362" ht="18" customHeight="1"/>
    <row r="3363" ht="18" customHeight="1"/>
    <row r="3364" ht="18" customHeight="1"/>
    <row r="3365" ht="18" customHeight="1"/>
    <row r="3366" ht="18" customHeight="1"/>
    <row r="3367" ht="18" customHeight="1"/>
    <row r="3368" ht="18" customHeight="1"/>
    <row r="3369" ht="18" customHeight="1"/>
    <row r="3370" ht="18" customHeight="1"/>
    <row r="3371" ht="18" customHeight="1"/>
    <row r="3372" ht="18" customHeight="1"/>
    <row r="3373" ht="18" customHeight="1"/>
    <row r="3374" ht="18" customHeight="1"/>
    <row r="3375" ht="18" customHeight="1"/>
    <row r="3376" ht="18" customHeight="1"/>
    <row r="3377" ht="18" customHeight="1"/>
    <row r="3378" ht="18" customHeight="1"/>
    <row r="3379" ht="18" customHeight="1"/>
    <row r="3380" ht="18" customHeight="1"/>
    <row r="3381" ht="18" customHeight="1"/>
    <row r="3382" ht="18" customHeight="1"/>
    <row r="3383" ht="18" customHeight="1"/>
    <row r="3384" ht="18" customHeight="1"/>
    <row r="3385" ht="18" customHeight="1"/>
    <row r="3386" ht="18" customHeight="1"/>
    <row r="3387" ht="18" customHeight="1"/>
    <row r="3388" ht="18" customHeight="1"/>
    <row r="3389" ht="18" customHeight="1"/>
    <row r="3390" ht="18" customHeight="1"/>
    <row r="3391" ht="18" customHeight="1"/>
    <row r="3392" ht="18" customHeight="1"/>
    <row r="3393" ht="18" customHeight="1"/>
    <row r="3394" ht="18" customHeight="1"/>
    <row r="3395" ht="18" customHeight="1"/>
    <row r="3396" ht="18" customHeight="1"/>
    <row r="3397" ht="18" customHeight="1"/>
    <row r="3398" ht="18" customHeight="1"/>
    <row r="3399" ht="18" customHeight="1"/>
    <row r="3400" ht="18" customHeight="1"/>
    <row r="3401" ht="18" customHeight="1"/>
    <row r="3402" ht="18" customHeight="1"/>
    <row r="3403" ht="18" customHeight="1"/>
    <row r="3404" ht="18" customHeight="1"/>
    <row r="3405" ht="18" customHeight="1"/>
    <row r="3406" ht="18" customHeight="1"/>
    <row r="3407" ht="18" customHeight="1"/>
    <row r="3408" ht="18" customHeight="1"/>
    <row r="3409" ht="18" customHeight="1"/>
    <row r="3410" ht="18" customHeight="1"/>
    <row r="3411" ht="18" customHeight="1"/>
    <row r="3412" ht="18" customHeight="1"/>
    <row r="3413" ht="18" customHeight="1"/>
    <row r="3414" ht="18" customHeight="1"/>
    <row r="3415" ht="18" customHeight="1"/>
    <row r="3416" ht="18" customHeight="1"/>
    <row r="3417" ht="18" customHeight="1"/>
    <row r="3418" ht="18" customHeight="1"/>
    <row r="3419" ht="18" customHeight="1"/>
    <row r="3420" ht="18" customHeight="1"/>
    <row r="3421" ht="18" customHeight="1"/>
    <row r="3422" ht="18" customHeight="1"/>
    <row r="3423" ht="18" customHeight="1"/>
    <row r="3424" ht="18" customHeight="1"/>
    <row r="3425" ht="18" customHeight="1"/>
    <row r="3426" ht="18" customHeight="1"/>
    <row r="3427" ht="18" customHeight="1"/>
    <row r="3428" ht="18" customHeight="1"/>
    <row r="3429" ht="18" customHeight="1"/>
    <row r="3430" ht="18" customHeight="1"/>
    <row r="3431" ht="18" customHeight="1"/>
    <row r="3432" ht="18" customHeight="1"/>
    <row r="3433" ht="18" customHeight="1"/>
    <row r="3434" ht="18" customHeight="1"/>
    <row r="3435" ht="18" customHeight="1"/>
    <row r="3436" ht="18" customHeight="1"/>
    <row r="3437" ht="18" customHeight="1"/>
    <row r="3438" ht="18" customHeight="1"/>
    <row r="3439" ht="18" customHeight="1"/>
    <row r="3440" ht="18" customHeight="1"/>
    <row r="3441" ht="18" customHeight="1"/>
    <row r="3442" ht="18" customHeight="1"/>
    <row r="3443" ht="18" customHeight="1"/>
    <row r="3444" ht="18" customHeight="1"/>
    <row r="3445" ht="18" customHeight="1"/>
    <row r="3446" ht="18" customHeight="1"/>
    <row r="3447" ht="18" customHeight="1"/>
    <row r="3448" ht="18" customHeight="1"/>
    <row r="3449" ht="18" customHeight="1"/>
    <row r="3450" ht="18" customHeight="1"/>
    <row r="3451" ht="18" customHeight="1"/>
    <row r="3452" ht="18" customHeight="1"/>
    <row r="3453" ht="18" customHeight="1"/>
    <row r="3454" ht="18" customHeight="1"/>
    <row r="3455" ht="18" customHeight="1"/>
    <row r="3456" ht="18" customHeight="1"/>
    <row r="3457" ht="18" customHeight="1"/>
    <row r="3458" ht="18" customHeight="1"/>
    <row r="3459" ht="18" customHeight="1"/>
    <row r="3460" ht="18" customHeight="1"/>
    <row r="3461" ht="18" customHeight="1"/>
    <row r="3462" ht="18" customHeight="1"/>
    <row r="3463" ht="18" customHeight="1"/>
    <row r="3464" ht="18" customHeight="1"/>
    <row r="3465" ht="18" customHeight="1"/>
    <row r="3466" ht="18" customHeight="1"/>
    <row r="3467" ht="18" customHeight="1"/>
    <row r="3468" ht="18" customHeight="1"/>
    <row r="3469" ht="18" customHeight="1"/>
    <row r="3470" ht="18" customHeight="1"/>
    <row r="3471" ht="18" customHeight="1"/>
    <row r="3472" ht="18" customHeight="1"/>
    <row r="3473" ht="18" customHeight="1"/>
    <row r="3474" ht="18" customHeight="1"/>
    <row r="3475" ht="18" customHeight="1"/>
    <row r="3476" ht="18" customHeight="1"/>
    <row r="3477" ht="18" customHeight="1"/>
    <row r="3478" ht="18" customHeight="1"/>
    <row r="3479" ht="18" customHeight="1"/>
    <row r="3480" ht="18" customHeight="1"/>
    <row r="3481" ht="18" customHeight="1"/>
    <row r="3482" ht="18" customHeight="1"/>
    <row r="3483" ht="18" customHeight="1"/>
    <row r="3484" ht="18" customHeight="1"/>
    <row r="3485" ht="18" customHeight="1"/>
    <row r="3486" ht="18" customHeight="1"/>
    <row r="3487" ht="18" customHeight="1"/>
    <row r="3488" ht="18" customHeight="1"/>
    <row r="3489" ht="18" customHeight="1"/>
    <row r="3490" ht="18" customHeight="1"/>
    <row r="3491" ht="18" customHeight="1"/>
    <row r="3492" ht="18" customHeight="1"/>
    <row r="3493" ht="18" customHeight="1"/>
    <row r="3494" ht="18" customHeight="1"/>
    <row r="3495" ht="18" customHeight="1"/>
    <row r="3496" ht="18" customHeight="1"/>
    <row r="3497" ht="18" customHeight="1"/>
    <row r="3498" ht="18" customHeight="1"/>
    <row r="3499" ht="18" customHeight="1"/>
    <row r="3500" ht="18" customHeight="1"/>
    <row r="3501" ht="18" customHeight="1"/>
    <row r="3502" ht="18" customHeight="1"/>
    <row r="3503" ht="18" customHeight="1"/>
    <row r="3504" ht="18" customHeight="1"/>
    <row r="3505" ht="18" customHeight="1"/>
    <row r="3506" ht="18" customHeight="1"/>
    <row r="3507" ht="18" customHeight="1"/>
    <row r="3508" ht="18" customHeight="1"/>
    <row r="3509" ht="18" customHeight="1"/>
    <row r="3510" ht="18" customHeight="1"/>
    <row r="3511" ht="18" customHeight="1"/>
    <row r="3512" ht="18" customHeight="1"/>
    <row r="3513" ht="18" customHeight="1"/>
    <row r="3514" ht="18" customHeight="1"/>
    <row r="3515" ht="18" customHeight="1"/>
    <row r="3516" ht="18" customHeight="1"/>
    <row r="3517" ht="18" customHeight="1"/>
    <row r="3518" ht="18" customHeight="1"/>
    <row r="3519" ht="18" customHeight="1"/>
    <row r="3520" ht="18" customHeight="1"/>
    <row r="3521" ht="18" customHeight="1"/>
    <row r="3522" ht="18" customHeight="1"/>
    <row r="3523" ht="18" customHeight="1"/>
    <row r="3524" ht="18" customHeight="1"/>
    <row r="3525" ht="18" customHeight="1"/>
    <row r="3526" ht="18" customHeight="1"/>
    <row r="3527" ht="18" customHeight="1"/>
    <row r="3528" ht="18" customHeight="1"/>
    <row r="3529" ht="18" customHeight="1"/>
    <row r="3530" ht="18" customHeight="1"/>
    <row r="3531" ht="18" customHeight="1"/>
    <row r="3532" ht="18" customHeight="1"/>
    <row r="3533" ht="18" customHeight="1"/>
    <row r="3534" ht="18" customHeight="1"/>
    <row r="3535" ht="18" customHeight="1"/>
    <row r="3536" ht="18" customHeight="1"/>
    <row r="3537" ht="18" customHeight="1"/>
    <row r="3538" ht="18" customHeight="1"/>
    <row r="3539" ht="18" customHeight="1"/>
    <row r="3540" ht="18" customHeight="1"/>
    <row r="3541" ht="18" customHeight="1"/>
    <row r="3542" ht="18" customHeight="1"/>
    <row r="3543" ht="18" customHeight="1"/>
    <row r="3544" ht="18" customHeight="1"/>
    <row r="3545" ht="18" customHeight="1"/>
    <row r="3546" ht="18" customHeight="1"/>
    <row r="3547" ht="18" customHeight="1"/>
    <row r="3548" ht="18" customHeight="1"/>
    <row r="3549" ht="18" customHeight="1"/>
    <row r="3550" ht="18" customHeight="1"/>
    <row r="3551" ht="18" customHeight="1"/>
    <row r="3552" ht="18" customHeight="1"/>
    <row r="3553" ht="18" customHeight="1"/>
    <row r="3554" ht="18" customHeight="1"/>
    <row r="3555" ht="18" customHeight="1"/>
    <row r="3556" ht="18" customHeight="1"/>
    <row r="3557" ht="18" customHeight="1"/>
    <row r="3558" ht="18" customHeight="1"/>
    <row r="3559" ht="18" customHeight="1"/>
    <row r="3560" ht="18" customHeight="1"/>
    <row r="3561" ht="18" customHeight="1"/>
    <row r="3562" ht="18" customHeight="1"/>
    <row r="3563" ht="18" customHeight="1"/>
    <row r="3564" ht="18" customHeight="1"/>
    <row r="3565" ht="18" customHeight="1"/>
    <row r="3566" ht="18" customHeight="1"/>
    <row r="3567" ht="18" customHeight="1"/>
    <row r="3568" ht="18" customHeight="1"/>
    <row r="3569" ht="18" customHeight="1"/>
    <row r="3570" ht="18" customHeight="1"/>
    <row r="3571" ht="18" customHeight="1"/>
    <row r="3572" ht="18" customHeight="1"/>
    <row r="3573" ht="18" customHeight="1"/>
    <row r="3574" ht="18" customHeight="1"/>
    <row r="3575" ht="18" customHeight="1"/>
    <row r="3576" ht="18" customHeight="1"/>
    <row r="3577" ht="18" customHeight="1"/>
    <row r="3578" ht="18" customHeight="1"/>
    <row r="3579" ht="18" customHeight="1"/>
    <row r="3580" ht="18" customHeight="1"/>
    <row r="3581" ht="18" customHeight="1"/>
    <row r="3582" ht="18" customHeight="1"/>
    <row r="3583" ht="18" customHeight="1"/>
    <row r="3584" ht="18" customHeight="1"/>
    <row r="3585" ht="18" customHeight="1"/>
    <row r="3586" ht="18" customHeight="1"/>
    <row r="3587" ht="18" customHeight="1"/>
    <row r="3588" ht="18" customHeight="1"/>
    <row r="3589" ht="18" customHeight="1"/>
    <row r="3590" ht="18" customHeight="1"/>
    <row r="3591" ht="18" customHeight="1"/>
    <row r="3592" ht="18" customHeight="1"/>
    <row r="3593" ht="18" customHeight="1"/>
    <row r="3594" ht="18" customHeight="1"/>
    <row r="3595" ht="18" customHeight="1"/>
    <row r="3596" ht="18" customHeight="1"/>
    <row r="3597" ht="18" customHeight="1"/>
    <row r="3598" ht="18" customHeight="1"/>
    <row r="3599" ht="18" customHeight="1"/>
    <row r="3600" ht="18" customHeight="1"/>
    <row r="3601" ht="18" customHeight="1"/>
    <row r="3602" ht="18" customHeight="1"/>
    <row r="3603" ht="18" customHeight="1"/>
    <row r="3604" ht="18" customHeight="1"/>
    <row r="3605" ht="18" customHeight="1"/>
    <row r="3606" ht="18" customHeight="1"/>
    <row r="3607" ht="18" customHeight="1"/>
    <row r="3608" ht="18" customHeight="1"/>
    <row r="3609" ht="18" customHeight="1"/>
    <row r="3610" ht="18" customHeight="1"/>
    <row r="3611" ht="18" customHeight="1"/>
    <row r="3612" ht="18" customHeight="1"/>
    <row r="3613" ht="18" customHeight="1"/>
    <row r="3614" ht="18" customHeight="1"/>
    <row r="3615" ht="18" customHeight="1"/>
    <row r="3616" ht="18" customHeight="1"/>
    <row r="3617" ht="18" customHeight="1"/>
    <row r="3618" ht="18" customHeight="1"/>
    <row r="3619" ht="18" customHeight="1"/>
    <row r="3620" ht="18" customHeight="1"/>
    <row r="3621" ht="18" customHeight="1"/>
    <row r="3622" ht="18" customHeight="1"/>
    <row r="3623" ht="18" customHeight="1"/>
    <row r="3624" ht="18" customHeight="1"/>
    <row r="3625" ht="18" customHeight="1"/>
    <row r="3626" ht="18" customHeight="1"/>
    <row r="3627" ht="18" customHeight="1"/>
    <row r="3628" ht="18" customHeight="1"/>
    <row r="3629" ht="18" customHeight="1"/>
    <row r="3630" ht="18" customHeight="1"/>
    <row r="3631" ht="18" customHeight="1"/>
    <row r="3632" ht="18" customHeight="1"/>
    <row r="3633" ht="18" customHeight="1"/>
    <row r="3634" ht="18" customHeight="1"/>
    <row r="3635" ht="18" customHeight="1"/>
    <row r="3636" ht="18" customHeight="1"/>
    <row r="3637" ht="18" customHeight="1"/>
    <row r="3638" ht="18" customHeight="1"/>
    <row r="3639" ht="18" customHeight="1"/>
    <row r="3640" ht="18" customHeight="1"/>
    <row r="3641" ht="18" customHeight="1"/>
    <row r="3642" ht="18" customHeight="1"/>
    <row r="3643" ht="18" customHeight="1"/>
    <row r="3644" ht="18" customHeight="1"/>
    <row r="3645" ht="18" customHeight="1"/>
    <row r="3646" ht="18" customHeight="1"/>
    <row r="3647" ht="18" customHeight="1"/>
    <row r="3648" ht="18" customHeight="1"/>
    <row r="3649" ht="18" customHeight="1"/>
    <row r="3650" ht="18" customHeight="1"/>
    <row r="3651" ht="18" customHeight="1"/>
    <row r="3652" ht="18" customHeight="1"/>
    <row r="3653" ht="18" customHeight="1"/>
    <row r="3654" ht="18" customHeight="1"/>
    <row r="3655" ht="18" customHeight="1"/>
    <row r="3656" ht="18" customHeight="1"/>
    <row r="3657" ht="18" customHeight="1"/>
    <row r="3658" ht="18" customHeight="1"/>
    <row r="3659" ht="18" customHeight="1"/>
    <row r="3660" ht="18" customHeight="1"/>
    <row r="3661" ht="18" customHeight="1"/>
    <row r="3662" ht="18" customHeight="1"/>
    <row r="3663" ht="18" customHeight="1"/>
    <row r="3664" ht="18" customHeight="1"/>
    <row r="3665" ht="18" customHeight="1"/>
    <row r="3666" ht="18" customHeight="1"/>
    <row r="3667" ht="18" customHeight="1"/>
    <row r="3668" ht="18" customHeight="1"/>
    <row r="3669" ht="18" customHeight="1"/>
    <row r="3670" ht="18" customHeight="1"/>
    <row r="3671" ht="18" customHeight="1"/>
    <row r="3672" ht="18" customHeight="1"/>
    <row r="3673" ht="18" customHeight="1"/>
    <row r="3674" ht="18" customHeight="1"/>
    <row r="3675" ht="18" customHeight="1"/>
    <row r="3676" ht="18" customHeight="1"/>
    <row r="3677" ht="18" customHeight="1"/>
    <row r="3678" ht="18" customHeight="1"/>
    <row r="3679" ht="18" customHeight="1"/>
  </sheetData>
  <sheetProtection/>
  <printOptions/>
  <pageMargins left="0.7874015748031497" right="0.3937007874015748" top="0.984251968503937" bottom="0.984251968503937" header="0.5118110236220472" footer="0.5118110236220472"/>
  <pageSetup horizontalDpi="360" verticalDpi="360" orientation="landscape" paperSize="9" r:id="rId1"/>
  <headerFooter alignWithMargins="0">
    <oddHeader>&amp;C&amp;"ＪＳゴシック,標準"&amp;12&amp;U周辺に複数の無線局がある場合　or　一無線局が複数の電波を発射する場合</oddHeader>
    <oddFooter>&amp;C&amp;P / &amp;N ﾍﾟｰｼﾞ</oddFooter>
  </headerFooter>
</worksheet>
</file>

<file path=xl/worksheets/sheet17.xml><?xml version="1.0" encoding="utf-8"?>
<worksheet xmlns="http://schemas.openxmlformats.org/spreadsheetml/2006/main" xmlns:r="http://schemas.openxmlformats.org/officeDocument/2006/relationships">
  <dimension ref="B2:H60"/>
  <sheetViews>
    <sheetView zoomScalePageLayoutView="0" workbookViewId="0" topLeftCell="A36">
      <selection activeCell="E57" sqref="E57"/>
    </sheetView>
  </sheetViews>
  <sheetFormatPr defaultColWidth="8.796875" defaultRowHeight="14.25"/>
  <cols>
    <col min="1" max="1" width="4.09765625" style="83" customWidth="1"/>
    <col min="2" max="2" width="3.59765625" style="83" customWidth="1"/>
    <col min="3" max="3" width="26" style="83" customWidth="1"/>
    <col min="4" max="4" width="3.59765625" style="83" customWidth="1"/>
    <col min="5" max="5" width="12.09765625" style="83" customWidth="1"/>
    <col min="6" max="6" width="3.59765625" style="83" customWidth="1"/>
    <col min="7" max="7" width="26" style="83" customWidth="1"/>
    <col min="8" max="8" width="3.59765625" style="83" customWidth="1"/>
    <col min="9" max="16384" width="9" style="83" customWidth="1"/>
  </cols>
  <sheetData>
    <row r="1" ht="4.5" customHeight="1"/>
    <row r="2" spans="2:8" ht="13.5">
      <c r="B2" s="84"/>
      <c r="C2" s="85" t="s">
        <v>213</v>
      </c>
      <c r="D2" s="86" t="s">
        <v>214</v>
      </c>
      <c r="F2" s="84"/>
      <c r="G2" s="85" t="s">
        <v>213</v>
      </c>
      <c r="H2" s="86" t="s">
        <v>214</v>
      </c>
    </row>
    <row r="3" spans="2:8" ht="13.5">
      <c r="B3" s="87"/>
      <c r="C3" s="88" t="s">
        <v>215</v>
      </c>
      <c r="D3" s="89" t="s">
        <v>214</v>
      </c>
      <c r="F3" s="87"/>
      <c r="G3" s="88" t="s">
        <v>215</v>
      </c>
      <c r="H3" s="89" t="s">
        <v>214</v>
      </c>
    </row>
    <row r="4" spans="2:8" ht="13.5">
      <c r="B4" s="87"/>
      <c r="C4" s="90"/>
      <c r="D4" s="91"/>
      <c r="F4" s="87"/>
      <c r="G4" s="90"/>
      <c r="H4" s="91"/>
    </row>
    <row r="5" spans="2:8" ht="13.5">
      <c r="B5" s="87"/>
      <c r="C5" s="90"/>
      <c r="D5" s="91"/>
      <c r="F5" s="87"/>
      <c r="G5" s="90"/>
      <c r="H5" s="91"/>
    </row>
    <row r="6" spans="2:8" ht="13.5">
      <c r="B6" s="87"/>
      <c r="C6" s="90"/>
      <c r="D6" s="91"/>
      <c r="F6" s="87"/>
      <c r="G6" s="90"/>
      <c r="H6" s="91"/>
    </row>
    <row r="7" spans="2:8" ht="13.5">
      <c r="B7" s="87"/>
      <c r="C7" s="90"/>
      <c r="D7" s="91"/>
      <c r="F7" s="87"/>
      <c r="G7" s="90"/>
      <c r="H7" s="91"/>
    </row>
    <row r="8" spans="2:8" ht="13.5">
      <c r="B8" s="87"/>
      <c r="C8" s="90"/>
      <c r="D8" s="91"/>
      <c r="F8" s="87"/>
      <c r="G8" s="90"/>
      <c r="H8" s="91"/>
    </row>
    <row r="9" spans="2:8" ht="13.5">
      <c r="B9" s="87"/>
      <c r="C9" s="90"/>
      <c r="D9" s="91"/>
      <c r="F9" s="87"/>
      <c r="G9" s="90"/>
      <c r="H9" s="91"/>
    </row>
    <row r="10" spans="2:8" ht="18" customHeight="1">
      <c r="B10" s="87"/>
      <c r="C10" s="92" t="s">
        <v>216</v>
      </c>
      <c r="D10" s="91"/>
      <c r="F10" s="87"/>
      <c r="G10" s="92" t="s">
        <v>216</v>
      </c>
      <c r="H10" s="91"/>
    </row>
    <row r="11" spans="2:8" ht="18" customHeight="1">
      <c r="B11" s="87"/>
      <c r="C11" s="93" t="s">
        <v>217</v>
      </c>
      <c r="D11" s="91"/>
      <c r="F11" s="87"/>
      <c r="G11" s="93" t="s">
        <v>217</v>
      </c>
      <c r="H11" s="91"/>
    </row>
    <row r="12" spans="2:8" ht="18" customHeight="1">
      <c r="B12" s="87"/>
      <c r="C12" s="93" t="s">
        <v>218</v>
      </c>
      <c r="D12" s="91"/>
      <c r="F12" s="87"/>
      <c r="G12" s="93" t="s">
        <v>218</v>
      </c>
      <c r="H12" s="91"/>
    </row>
    <row r="13" spans="2:8" ht="18" customHeight="1">
      <c r="B13" s="87"/>
      <c r="C13" s="94" t="s">
        <v>219</v>
      </c>
      <c r="D13" s="91"/>
      <c r="F13" s="87"/>
      <c r="G13" s="94" t="s">
        <v>219</v>
      </c>
      <c r="H13" s="91"/>
    </row>
    <row r="14" spans="2:8" ht="13.5">
      <c r="B14" s="87"/>
      <c r="D14" s="91"/>
      <c r="F14" s="87"/>
      <c r="H14" s="91"/>
    </row>
    <row r="15" spans="2:8" ht="13.5">
      <c r="B15" s="95"/>
      <c r="C15" s="96"/>
      <c r="D15" s="97"/>
      <c r="F15" s="95"/>
      <c r="G15" s="96"/>
      <c r="H15" s="97"/>
    </row>
    <row r="16" ht="4.5" customHeight="1"/>
    <row r="17" spans="2:8" ht="13.5">
      <c r="B17" s="84"/>
      <c r="C17" s="85" t="s">
        <v>213</v>
      </c>
      <c r="D17" s="98" t="s">
        <v>214</v>
      </c>
      <c r="F17" s="84"/>
      <c r="G17" s="85" t="s">
        <v>213</v>
      </c>
      <c r="H17" s="98" t="s">
        <v>214</v>
      </c>
    </row>
    <row r="18" spans="2:8" ht="13.5">
      <c r="B18" s="87"/>
      <c r="C18" s="88" t="s">
        <v>215</v>
      </c>
      <c r="D18" s="99" t="s">
        <v>214</v>
      </c>
      <c r="F18" s="87"/>
      <c r="G18" s="88" t="s">
        <v>215</v>
      </c>
      <c r="H18" s="99" t="s">
        <v>214</v>
      </c>
    </row>
    <row r="19" spans="2:8" ht="13.5">
      <c r="B19" s="87"/>
      <c r="C19" s="90"/>
      <c r="D19" s="91"/>
      <c r="F19" s="87"/>
      <c r="G19" s="90"/>
      <c r="H19" s="91"/>
    </row>
    <row r="20" spans="2:8" ht="13.5">
      <c r="B20" s="87"/>
      <c r="C20" s="90"/>
      <c r="D20" s="91"/>
      <c r="F20" s="87"/>
      <c r="G20" s="90"/>
      <c r="H20" s="91"/>
    </row>
    <row r="21" spans="2:8" ht="13.5">
      <c r="B21" s="87"/>
      <c r="C21" s="90"/>
      <c r="D21" s="91"/>
      <c r="F21" s="87"/>
      <c r="G21" s="90"/>
      <c r="H21" s="91"/>
    </row>
    <row r="22" spans="2:8" ht="13.5">
      <c r="B22" s="87"/>
      <c r="C22" s="90"/>
      <c r="D22" s="91"/>
      <c r="F22" s="87"/>
      <c r="G22" s="90"/>
      <c r="H22" s="91"/>
    </row>
    <row r="23" spans="2:8" ht="13.5">
      <c r="B23" s="87"/>
      <c r="C23" s="90"/>
      <c r="D23" s="91"/>
      <c r="F23" s="87"/>
      <c r="G23" s="90"/>
      <c r="H23" s="91"/>
    </row>
    <row r="24" spans="2:8" ht="13.5">
      <c r="B24" s="87"/>
      <c r="C24" s="90"/>
      <c r="D24" s="91"/>
      <c r="F24" s="87"/>
      <c r="G24" s="90"/>
      <c r="H24" s="91"/>
    </row>
    <row r="25" spans="2:8" ht="18" customHeight="1">
      <c r="B25" s="87"/>
      <c r="C25" s="92" t="s">
        <v>216</v>
      </c>
      <c r="D25" s="91"/>
      <c r="F25" s="87"/>
      <c r="G25" s="92" t="s">
        <v>216</v>
      </c>
      <c r="H25" s="91"/>
    </row>
    <row r="26" spans="2:8" ht="18" customHeight="1">
      <c r="B26" s="87"/>
      <c r="C26" s="93" t="s">
        <v>217</v>
      </c>
      <c r="D26" s="91"/>
      <c r="F26" s="87"/>
      <c r="G26" s="93" t="s">
        <v>217</v>
      </c>
      <c r="H26" s="91"/>
    </row>
    <row r="27" spans="2:8" ht="18" customHeight="1">
      <c r="B27" s="87"/>
      <c r="C27" s="93" t="s">
        <v>218</v>
      </c>
      <c r="D27" s="91"/>
      <c r="F27" s="87"/>
      <c r="G27" s="93" t="s">
        <v>218</v>
      </c>
      <c r="H27" s="91"/>
    </row>
    <row r="28" spans="2:8" ht="18" customHeight="1">
      <c r="B28" s="87"/>
      <c r="C28" s="94" t="s">
        <v>219</v>
      </c>
      <c r="D28" s="91"/>
      <c r="F28" s="87"/>
      <c r="G28" s="94" t="s">
        <v>219</v>
      </c>
      <c r="H28" s="91"/>
    </row>
    <row r="29" spans="2:8" ht="13.5">
      <c r="B29" s="87"/>
      <c r="D29" s="91"/>
      <c r="F29" s="87"/>
      <c r="H29" s="91"/>
    </row>
    <row r="30" spans="2:8" ht="13.5">
      <c r="B30" s="95"/>
      <c r="C30" s="96"/>
      <c r="D30" s="97"/>
      <c r="F30" s="95"/>
      <c r="G30" s="96"/>
      <c r="H30" s="97"/>
    </row>
    <row r="31" ht="4.5" customHeight="1"/>
    <row r="32" spans="2:8" ht="13.5">
      <c r="B32" s="84"/>
      <c r="C32" s="85" t="s">
        <v>213</v>
      </c>
      <c r="D32" s="86" t="s">
        <v>214</v>
      </c>
      <c r="F32" s="84"/>
      <c r="G32" s="85" t="s">
        <v>213</v>
      </c>
      <c r="H32" s="86" t="s">
        <v>214</v>
      </c>
    </row>
    <row r="33" spans="2:8" ht="13.5">
      <c r="B33" s="87"/>
      <c r="C33" s="88" t="s">
        <v>215</v>
      </c>
      <c r="D33" s="89" t="s">
        <v>214</v>
      </c>
      <c r="F33" s="87"/>
      <c r="G33" s="88" t="s">
        <v>215</v>
      </c>
      <c r="H33" s="89" t="s">
        <v>214</v>
      </c>
    </row>
    <row r="34" spans="2:8" ht="13.5">
      <c r="B34" s="87"/>
      <c r="C34" s="90"/>
      <c r="D34" s="91"/>
      <c r="F34" s="87"/>
      <c r="G34" s="90"/>
      <c r="H34" s="91"/>
    </row>
    <row r="35" spans="2:8" ht="13.5">
      <c r="B35" s="87"/>
      <c r="C35" s="90"/>
      <c r="D35" s="91"/>
      <c r="F35" s="87"/>
      <c r="G35" s="90"/>
      <c r="H35" s="91"/>
    </row>
    <row r="36" spans="2:8" ht="13.5">
      <c r="B36" s="87"/>
      <c r="C36" s="90"/>
      <c r="D36" s="91"/>
      <c r="F36" s="87"/>
      <c r="G36" s="90"/>
      <c r="H36" s="91"/>
    </row>
    <row r="37" spans="2:8" ht="13.5">
      <c r="B37" s="87"/>
      <c r="C37" s="90"/>
      <c r="D37" s="91"/>
      <c r="F37" s="87"/>
      <c r="G37" s="90"/>
      <c r="H37" s="91"/>
    </row>
    <row r="38" spans="2:8" ht="13.5">
      <c r="B38" s="87"/>
      <c r="C38" s="90"/>
      <c r="D38" s="91"/>
      <c r="F38" s="87"/>
      <c r="G38" s="90"/>
      <c r="H38" s="91"/>
    </row>
    <row r="39" spans="2:8" ht="13.5">
      <c r="B39" s="87"/>
      <c r="C39" s="90"/>
      <c r="D39" s="91"/>
      <c r="F39" s="87"/>
      <c r="G39" s="90"/>
      <c r="H39" s="91"/>
    </row>
    <row r="40" spans="2:8" ht="18" customHeight="1">
      <c r="B40" s="87"/>
      <c r="C40" s="92" t="s">
        <v>216</v>
      </c>
      <c r="D40" s="91"/>
      <c r="F40" s="87"/>
      <c r="G40" s="92" t="s">
        <v>216</v>
      </c>
      <c r="H40" s="91"/>
    </row>
    <row r="41" spans="2:8" ht="18" customHeight="1">
      <c r="B41" s="87"/>
      <c r="C41" s="93" t="s">
        <v>217</v>
      </c>
      <c r="D41" s="91"/>
      <c r="F41" s="87"/>
      <c r="G41" s="93" t="s">
        <v>217</v>
      </c>
      <c r="H41" s="91"/>
    </row>
    <row r="42" spans="2:8" ht="18" customHeight="1">
      <c r="B42" s="87"/>
      <c r="C42" s="93" t="s">
        <v>218</v>
      </c>
      <c r="D42" s="91"/>
      <c r="F42" s="87"/>
      <c r="G42" s="93" t="s">
        <v>218</v>
      </c>
      <c r="H42" s="91"/>
    </row>
    <row r="43" spans="2:8" ht="18" customHeight="1">
      <c r="B43" s="87"/>
      <c r="C43" s="94" t="s">
        <v>219</v>
      </c>
      <c r="D43" s="91"/>
      <c r="F43" s="87"/>
      <c r="G43" s="94" t="s">
        <v>219</v>
      </c>
      <c r="H43" s="91"/>
    </row>
    <row r="44" spans="2:8" ht="13.5">
      <c r="B44" s="87"/>
      <c r="D44" s="91"/>
      <c r="F44" s="87"/>
      <c r="H44" s="91"/>
    </row>
    <row r="45" spans="2:8" ht="13.5">
      <c r="B45" s="95"/>
      <c r="C45" s="96"/>
      <c r="D45" s="97"/>
      <c r="F45" s="95"/>
      <c r="G45" s="96"/>
      <c r="H45" s="97"/>
    </row>
    <row r="46" ht="4.5" customHeight="1"/>
    <row r="47" spans="2:8" ht="13.5">
      <c r="B47" s="84"/>
      <c r="C47" s="85" t="s">
        <v>213</v>
      </c>
      <c r="D47" s="86" t="s">
        <v>214</v>
      </c>
      <c r="F47" s="84"/>
      <c r="G47" s="85" t="s">
        <v>213</v>
      </c>
      <c r="H47" s="86" t="s">
        <v>214</v>
      </c>
    </row>
    <row r="48" spans="2:8" ht="13.5">
      <c r="B48" s="87"/>
      <c r="C48" s="88" t="s">
        <v>215</v>
      </c>
      <c r="D48" s="89" t="s">
        <v>214</v>
      </c>
      <c r="F48" s="87"/>
      <c r="G48" s="88" t="s">
        <v>215</v>
      </c>
      <c r="H48" s="89" t="s">
        <v>214</v>
      </c>
    </row>
    <row r="49" spans="2:8" ht="13.5">
      <c r="B49" s="87"/>
      <c r="C49" s="90"/>
      <c r="D49" s="91"/>
      <c r="F49" s="87"/>
      <c r="G49" s="90"/>
      <c r="H49" s="91"/>
    </row>
    <row r="50" spans="2:8" ht="13.5">
      <c r="B50" s="87"/>
      <c r="C50" s="90"/>
      <c r="D50" s="91"/>
      <c r="F50" s="87"/>
      <c r="G50" s="90"/>
      <c r="H50" s="91"/>
    </row>
    <row r="51" spans="2:8" ht="13.5">
      <c r="B51" s="87"/>
      <c r="C51" s="90"/>
      <c r="D51" s="91"/>
      <c r="F51" s="87"/>
      <c r="G51" s="90"/>
      <c r="H51" s="91"/>
    </row>
    <row r="52" spans="2:8" ht="13.5">
      <c r="B52" s="87"/>
      <c r="C52" s="90"/>
      <c r="D52" s="91"/>
      <c r="F52" s="87"/>
      <c r="G52" s="90"/>
      <c r="H52" s="91"/>
    </row>
    <row r="53" spans="2:8" ht="13.5">
      <c r="B53" s="87"/>
      <c r="C53" s="90"/>
      <c r="D53" s="91"/>
      <c r="F53" s="87"/>
      <c r="G53" s="90"/>
      <c r="H53" s="91"/>
    </row>
    <row r="54" spans="2:8" ht="13.5">
      <c r="B54" s="87"/>
      <c r="C54" s="90"/>
      <c r="D54" s="91"/>
      <c r="F54" s="87"/>
      <c r="G54" s="90"/>
      <c r="H54" s="91"/>
    </row>
    <row r="55" spans="2:8" ht="18" customHeight="1">
      <c r="B55" s="87"/>
      <c r="C55" s="92" t="s">
        <v>216</v>
      </c>
      <c r="D55" s="91"/>
      <c r="F55" s="87"/>
      <c r="G55" s="92" t="s">
        <v>216</v>
      </c>
      <c r="H55" s="91"/>
    </row>
    <row r="56" spans="2:8" ht="18" customHeight="1">
      <c r="B56" s="87"/>
      <c r="C56" s="93" t="s">
        <v>217</v>
      </c>
      <c r="D56" s="91"/>
      <c r="F56" s="87"/>
      <c r="G56" s="93" t="s">
        <v>217</v>
      </c>
      <c r="H56" s="91"/>
    </row>
    <row r="57" spans="2:8" ht="18" customHeight="1">
      <c r="B57" s="87"/>
      <c r="C57" s="93" t="s">
        <v>218</v>
      </c>
      <c r="D57" s="91"/>
      <c r="F57" s="87"/>
      <c r="G57" s="93" t="s">
        <v>218</v>
      </c>
      <c r="H57" s="91"/>
    </row>
    <row r="58" spans="2:8" ht="18" customHeight="1">
      <c r="B58" s="87"/>
      <c r="C58" s="94" t="s">
        <v>219</v>
      </c>
      <c r="D58" s="91"/>
      <c r="F58" s="87"/>
      <c r="G58" s="94" t="s">
        <v>219</v>
      </c>
      <c r="H58" s="91"/>
    </row>
    <row r="59" spans="2:8" ht="13.5">
      <c r="B59" s="87"/>
      <c r="D59" s="91"/>
      <c r="F59" s="87"/>
      <c r="H59" s="91"/>
    </row>
    <row r="60" spans="2:8" ht="13.5">
      <c r="B60" s="95"/>
      <c r="C60" s="96"/>
      <c r="D60" s="97"/>
      <c r="F60" s="95"/>
      <c r="G60" s="96"/>
      <c r="H60" s="97"/>
    </row>
    <row r="61" ht="4.5" customHeight="1"/>
  </sheetData>
  <sheetProtection/>
  <printOptions/>
  <pageMargins left="0" right="0" top="0" bottom="0"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pane xSplit="1" topLeftCell="C1" activePane="topRight" state="frozen"/>
      <selection pane="topLeft" activeCell="A1" sqref="A1"/>
      <selection pane="topRight" activeCell="F26" sqref="F26"/>
    </sheetView>
  </sheetViews>
  <sheetFormatPr defaultColWidth="8.796875" defaultRowHeight="14.25"/>
  <cols>
    <col min="1" max="1" width="40.09765625" style="1" customWidth="1"/>
    <col min="2" max="8" width="12.5" style="1" customWidth="1"/>
    <col min="9" max="9" width="5.3984375" style="1" customWidth="1"/>
    <col min="10" max="10" width="7.59765625" style="5" customWidth="1"/>
    <col min="11" max="11" width="10.09765625" style="1" customWidth="1"/>
    <col min="12" max="16384" width="9" style="1" customWidth="1"/>
  </cols>
  <sheetData>
    <row r="1" ht="14.25" thickBot="1">
      <c r="A1" s="1" t="s">
        <v>31</v>
      </c>
    </row>
    <row r="2" spans="1:10" ht="14.25" thickBot="1">
      <c r="A2" s="31" t="s">
        <v>1</v>
      </c>
      <c r="B2" s="29" t="s">
        <v>32</v>
      </c>
      <c r="C2" s="29" t="s">
        <v>33</v>
      </c>
      <c r="D2" s="29" t="s">
        <v>34</v>
      </c>
      <c r="E2" s="29" t="s">
        <v>35</v>
      </c>
      <c r="F2" s="29" t="s">
        <v>36</v>
      </c>
      <c r="G2" s="29" t="s">
        <v>37</v>
      </c>
      <c r="H2" s="29" t="s">
        <v>38</v>
      </c>
      <c r="I2" s="31" t="s">
        <v>39</v>
      </c>
      <c r="J2" s="30" t="s">
        <v>3</v>
      </c>
    </row>
    <row r="3" spans="1:11" ht="13.5">
      <c r="A3" s="32" t="s">
        <v>4</v>
      </c>
      <c r="B3" s="9"/>
      <c r="C3" s="9"/>
      <c r="D3" s="9"/>
      <c r="E3" s="9"/>
      <c r="F3" s="9"/>
      <c r="G3" s="9"/>
      <c r="H3" s="9"/>
      <c r="I3" s="35"/>
      <c r="J3" s="22" t="s">
        <v>5</v>
      </c>
      <c r="K3" s="16"/>
    </row>
    <row r="4" spans="1:11" ht="13.5">
      <c r="A4" s="32" t="s">
        <v>6</v>
      </c>
      <c r="B4" s="12"/>
      <c r="C4" s="12"/>
      <c r="D4" s="12"/>
      <c r="E4" s="12"/>
      <c r="F4" s="12"/>
      <c r="G4" s="12"/>
      <c r="H4" s="12"/>
      <c r="I4" s="36"/>
      <c r="J4" s="22" t="s">
        <v>7</v>
      </c>
      <c r="K4" s="17"/>
    </row>
    <row r="5" spans="1:11" ht="13.5">
      <c r="A5" s="32" t="s">
        <v>8</v>
      </c>
      <c r="B5" s="13"/>
      <c r="C5" s="13"/>
      <c r="D5" s="13"/>
      <c r="E5" s="13"/>
      <c r="F5" s="13"/>
      <c r="G5" s="13"/>
      <c r="H5" s="13"/>
      <c r="I5" s="37"/>
      <c r="J5" s="22" t="s">
        <v>9</v>
      </c>
      <c r="K5" s="18"/>
    </row>
    <row r="6" spans="1:11" ht="13.5">
      <c r="A6" s="32" t="s">
        <v>10</v>
      </c>
      <c r="B6" s="10" t="str">
        <f aca="true" t="shared" si="0" ref="B6:H6">IF(ISBLANK(B5)," ",B4/POWER(10,B5/10))</f>
        <v> </v>
      </c>
      <c r="C6" s="10" t="str">
        <f t="shared" si="0"/>
        <v> </v>
      </c>
      <c r="D6" s="10" t="str">
        <f t="shared" si="0"/>
        <v> </v>
      </c>
      <c r="E6" s="10" t="str">
        <f t="shared" si="0"/>
        <v> </v>
      </c>
      <c r="F6" s="10" t="str">
        <f t="shared" si="0"/>
        <v> </v>
      </c>
      <c r="G6" s="10" t="str">
        <f t="shared" si="0"/>
        <v> </v>
      </c>
      <c r="H6" s="10" t="str">
        <f t="shared" si="0"/>
        <v> </v>
      </c>
      <c r="I6" s="38"/>
      <c r="J6" s="22" t="s">
        <v>7</v>
      </c>
      <c r="K6" s="19"/>
    </row>
    <row r="7" spans="1:11" ht="13.5">
      <c r="A7" s="32" t="s">
        <v>11</v>
      </c>
      <c r="B7" s="13"/>
      <c r="C7" s="13"/>
      <c r="D7" s="13"/>
      <c r="E7" s="13"/>
      <c r="F7" s="13"/>
      <c r="G7" s="13"/>
      <c r="H7" s="13"/>
      <c r="I7" s="37"/>
      <c r="J7" s="22" t="s">
        <v>9</v>
      </c>
      <c r="K7" s="18"/>
    </row>
    <row r="8" spans="1:11" ht="13.5">
      <c r="A8" s="32" t="s">
        <v>12</v>
      </c>
      <c r="B8" s="14" t="str">
        <f aca="true" t="shared" si="1" ref="B8:H8">IF(ISBLANK(B7)," ",POWER(10,B7/10))</f>
        <v> </v>
      </c>
      <c r="C8" s="14" t="str">
        <f t="shared" si="1"/>
        <v> </v>
      </c>
      <c r="D8" s="14" t="str">
        <f t="shared" si="1"/>
        <v> </v>
      </c>
      <c r="E8" s="14" t="str">
        <f t="shared" si="1"/>
        <v> </v>
      </c>
      <c r="F8" s="14" t="str">
        <f t="shared" si="1"/>
        <v> </v>
      </c>
      <c r="G8" s="11" t="str">
        <f t="shared" si="1"/>
        <v> </v>
      </c>
      <c r="H8" s="11" t="str">
        <f t="shared" si="1"/>
        <v> </v>
      </c>
      <c r="I8" s="39"/>
      <c r="J8" s="22" t="s">
        <v>13</v>
      </c>
      <c r="K8" s="15"/>
    </row>
    <row r="9" spans="1:11" ht="13.5">
      <c r="A9" s="32" t="s">
        <v>14</v>
      </c>
      <c r="B9" s="13"/>
      <c r="C9" s="13"/>
      <c r="D9" s="13"/>
      <c r="E9" s="13"/>
      <c r="F9" s="13"/>
      <c r="G9" s="13"/>
      <c r="H9" s="13"/>
      <c r="I9" s="37"/>
      <c r="J9" s="22" t="s">
        <v>15</v>
      </c>
      <c r="K9" s="18"/>
    </row>
    <row r="10" spans="1:11" ht="14.25" thickBot="1">
      <c r="A10" s="33" t="s">
        <v>16</v>
      </c>
      <c r="B10" s="27" t="str">
        <f aca="true" t="shared" si="2" ref="B10:H10">IF(ISBLANK(B9)," ",IF(B3&lt;76,4,2.56))</f>
        <v> </v>
      </c>
      <c r="C10" s="27" t="str">
        <f t="shared" si="2"/>
        <v> </v>
      </c>
      <c r="D10" s="27" t="str">
        <f t="shared" si="2"/>
        <v> </v>
      </c>
      <c r="E10" s="27" t="str">
        <f t="shared" si="2"/>
        <v> </v>
      </c>
      <c r="F10" s="27" t="str">
        <f t="shared" si="2"/>
        <v> </v>
      </c>
      <c r="G10" s="27" t="str">
        <f t="shared" si="2"/>
        <v> </v>
      </c>
      <c r="H10" s="27" t="str">
        <f t="shared" si="2"/>
        <v> </v>
      </c>
      <c r="I10" s="40"/>
      <c r="J10" s="28"/>
      <c r="K10" s="15"/>
    </row>
    <row r="11" spans="1:11" ht="13.5">
      <c r="A11" s="34" t="s">
        <v>40</v>
      </c>
      <c r="B11" s="20" t="str">
        <f aca="true" t="shared" si="3" ref="B11:H11">IF(ISBLANK(B3)," ",IF(B3&lt;30,824/B3," "))</f>
        <v> </v>
      </c>
      <c r="C11" s="20" t="str">
        <f t="shared" si="3"/>
        <v> </v>
      </c>
      <c r="D11" s="20" t="str">
        <f t="shared" si="3"/>
        <v> </v>
      </c>
      <c r="E11" s="20" t="str">
        <f t="shared" si="3"/>
        <v> </v>
      </c>
      <c r="F11" s="20" t="str">
        <f t="shared" si="3"/>
        <v> </v>
      </c>
      <c r="G11" s="20" t="str">
        <f t="shared" si="3"/>
        <v> </v>
      </c>
      <c r="H11" s="20" t="str">
        <f t="shared" si="3"/>
        <v> </v>
      </c>
      <c r="I11" s="41"/>
      <c r="J11" s="21" t="s">
        <v>221</v>
      </c>
      <c r="K11" s="15"/>
    </row>
    <row r="12" spans="1:11" ht="14.25" thickBot="1">
      <c r="A12" s="33" t="s">
        <v>19</v>
      </c>
      <c r="B12" s="23" t="str">
        <f aca="true" t="shared" si="4" ref="B12:H12">IF(ISBLANK(B3)," ",IF(B3&lt;30," ",IF(AND(B3&gt;=30,B3&lt;300),0.2,IF(AND(B3&gt;=300,B3&lt;1500),B3/1500,1))))</f>
        <v> </v>
      </c>
      <c r="C12" s="23" t="str">
        <f t="shared" si="4"/>
        <v> </v>
      </c>
      <c r="D12" s="23" t="str">
        <f t="shared" si="4"/>
        <v> </v>
      </c>
      <c r="E12" s="23" t="str">
        <f t="shared" si="4"/>
        <v> </v>
      </c>
      <c r="F12" s="23" t="str">
        <f t="shared" si="4"/>
        <v> </v>
      </c>
      <c r="G12" s="23" t="str">
        <f t="shared" si="4"/>
        <v> </v>
      </c>
      <c r="H12" s="23" t="str">
        <f t="shared" si="4"/>
        <v> </v>
      </c>
      <c r="I12" s="42"/>
      <c r="J12" s="24" t="s">
        <v>20</v>
      </c>
      <c r="K12" s="15"/>
    </row>
    <row r="13" spans="1:11" ht="13.5">
      <c r="A13" s="34" t="s">
        <v>21</v>
      </c>
      <c r="B13" s="20" t="str">
        <f aca="true" t="shared" si="5" ref="B13:H13">IF(ISBLANK(B9)," ",IF(B3&lt;30,SQRT(B6*B8*B10/40/PI()/B9/B9*3770)," "))</f>
        <v> </v>
      </c>
      <c r="C13" s="20" t="str">
        <f t="shared" si="5"/>
        <v> </v>
      </c>
      <c r="D13" s="20" t="str">
        <f t="shared" si="5"/>
        <v> </v>
      </c>
      <c r="E13" s="20" t="str">
        <f t="shared" si="5"/>
        <v> </v>
      </c>
      <c r="F13" s="20" t="str">
        <f t="shared" si="5"/>
        <v> </v>
      </c>
      <c r="G13" s="20" t="str">
        <f t="shared" si="5"/>
        <v> </v>
      </c>
      <c r="H13" s="20" t="str">
        <f t="shared" si="5"/>
        <v> </v>
      </c>
      <c r="I13" s="41"/>
      <c r="J13" s="21" t="s">
        <v>220</v>
      </c>
      <c r="K13" s="15"/>
    </row>
    <row r="14" spans="1:11" ht="13.5">
      <c r="A14" s="32" t="s">
        <v>22</v>
      </c>
      <c r="B14" s="11" t="str">
        <f aca="true" t="shared" si="6" ref="B14:H14">IF(ISBLANK(B9)," ",IF(B3&lt;30," ",IF(AND(B3&gt;=30,B3&lt;76),B6*B8*B10/40/PI()/B9/B9,B6*B8*B10/40/PI()/B9/B9)))</f>
        <v> </v>
      </c>
      <c r="C14" s="11" t="str">
        <f t="shared" si="6"/>
        <v> </v>
      </c>
      <c r="D14" s="11" t="str">
        <f t="shared" si="6"/>
        <v> </v>
      </c>
      <c r="E14" s="11" t="str">
        <f t="shared" si="6"/>
        <v> </v>
      </c>
      <c r="F14" s="11" t="str">
        <f t="shared" si="6"/>
        <v> </v>
      </c>
      <c r="G14" s="11" t="str">
        <f t="shared" si="6"/>
        <v> </v>
      </c>
      <c r="H14" s="11" t="str">
        <f t="shared" si="6"/>
        <v> </v>
      </c>
      <c r="I14" s="39"/>
      <c r="J14" s="22" t="s">
        <v>20</v>
      </c>
      <c r="K14" s="15"/>
    </row>
    <row r="15" spans="1:11" ht="13.5">
      <c r="A15" s="32" t="s">
        <v>23</v>
      </c>
      <c r="B15" s="11" t="str">
        <f aca="true" t="shared" si="7" ref="B15:H15">IF(ISBLANK(B9)," ",IF(B3&lt;30,SQRT(B6*B8/40/PI()/B9/B9*3770)," "))</f>
        <v> </v>
      </c>
      <c r="C15" s="11" t="str">
        <f t="shared" si="7"/>
        <v> </v>
      </c>
      <c r="D15" s="11" t="str">
        <f t="shared" si="7"/>
        <v> </v>
      </c>
      <c r="E15" s="11" t="str">
        <f t="shared" si="7"/>
        <v> </v>
      </c>
      <c r="F15" s="11" t="str">
        <f t="shared" si="7"/>
        <v> </v>
      </c>
      <c r="G15" s="11" t="str">
        <f t="shared" si="7"/>
        <v> </v>
      </c>
      <c r="H15" s="11" t="str">
        <f t="shared" si="7"/>
        <v> </v>
      </c>
      <c r="I15" s="39"/>
      <c r="J15" s="22" t="s">
        <v>220</v>
      </c>
      <c r="K15" s="15"/>
    </row>
    <row r="16" spans="1:11" ht="14.25" thickBot="1">
      <c r="A16" s="33" t="s">
        <v>24</v>
      </c>
      <c r="B16" s="23" t="str">
        <f aca="true" t="shared" si="8" ref="B16:H16">IF(ISBLANK(B9)," ",IF(B3&gt;=30,B6*B8/40/PI()/B9/B9," "))</f>
        <v> </v>
      </c>
      <c r="C16" s="23" t="str">
        <f t="shared" si="8"/>
        <v> </v>
      </c>
      <c r="D16" s="23" t="str">
        <f t="shared" si="8"/>
        <v> </v>
      </c>
      <c r="E16" s="23" t="str">
        <f t="shared" si="8"/>
        <v> </v>
      </c>
      <c r="F16" s="23" t="str">
        <f t="shared" si="8"/>
        <v> </v>
      </c>
      <c r="G16" s="23" t="str">
        <f t="shared" si="8"/>
        <v> </v>
      </c>
      <c r="H16" s="23" t="str">
        <f t="shared" si="8"/>
        <v> </v>
      </c>
      <c r="I16" s="42"/>
      <c r="J16" s="24" t="s">
        <v>20</v>
      </c>
      <c r="K16" s="15"/>
    </row>
    <row r="17" spans="1:11" ht="13.5">
      <c r="A17" s="34" t="s">
        <v>25</v>
      </c>
      <c r="B17" s="20" t="str">
        <f aca="true" t="shared" si="9" ref="B17:H17">IF(ISBLANK(B7)," ",IF(B3&lt;30,SQRT(B6*B8*B10*3770/40/PI()/B11/B11),SQRT(B6*B8*B10/40/PI()/B12)))</f>
        <v> </v>
      </c>
      <c r="C17" s="20" t="str">
        <f t="shared" si="9"/>
        <v> </v>
      </c>
      <c r="D17" s="20" t="str">
        <f t="shared" si="9"/>
        <v> </v>
      </c>
      <c r="E17" s="20" t="str">
        <f t="shared" si="9"/>
        <v> </v>
      </c>
      <c r="F17" s="20" t="str">
        <f t="shared" si="9"/>
        <v> </v>
      </c>
      <c r="G17" s="20" t="str">
        <f t="shared" si="9"/>
        <v> </v>
      </c>
      <c r="H17" s="20" t="str">
        <f t="shared" si="9"/>
        <v> </v>
      </c>
      <c r="I17" s="41"/>
      <c r="J17" s="21" t="s">
        <v>15</v>
      </c>
      <c r="K17" s="15"/>
    </row>
    <row r="18" spans="1:11" ht="14.25" thickBot="1">
      <c r="A18" s="33" t="s">
        <v>26</v>
      </c>
      <c r="B18" s="23" t="str">
        <f aca="true" t="shared" si="10" ref="B18:H18">IF(ISBLANK(B7)," ",IF(B3&lt;30,SQRT(B6*B8*3770/40/PI()/B11/B11),SQRT(B6*B8/40/PI()/B12)))</f>
        <v> </v>
      </c>
      <c r="C18" s="23" t="str">
        <f t="shared" si="10"/>
        <v> </v>
      </c>
      <c r="D18" s="23" t="str">
        <f t="shared" si="10"/>
        <v> </v>
      </c>
      <c r="E18" s="23" t="str">
        <f t="shared" si="10"/>
        <v> </v>
      </c>
      <c r="F18" s="23" t="str">
        <f t="shared" si="10"/>
        <v> </v>
      </c>
      <c r="G18" s="23" t="str">
        <f t="shared" si="10"/>
        <v> </v>
      </c>
      <c r="H18" s="23" t="str">
        <f t="shared" si="10"/>
        <v> </v>
      </c>
      <c r="I18" s="42"/>
      <c r="J18" s="24" t="s">
        <v>15</v>
      </c>
      <c r="K18" s="15"/>
    </row>
    <row r="19" spans="1:11" ht="13.5">
      <c r="A19" s="34" t="s">
        <v>41</v>
      </c>
      <c r="B19" s="20" t="str">
        <f aca="true" t="shared" si="11" ref="B19:H19">IF(ISBLANK(B9)," ",IF(B3&lt;30,POWER(B11,2)/3770,B12))</f>
        <v> </v>
      </c>
      <c r="C19" s="20" t="str">
        <f t="shared" si="11"/>
        <v> </v>
      </c>
      <c r="D19" s="20" t="str">
        <f t="shared" si="11"/>
        <v> </v>
      </c>
      <c r="E19" s="20" t="str">
        <f t="shared" si="11"/>
        <v> </v>
      </c>
      <c r="F19" s="20" t="str">
        <f t="shared" si="11"/>
        <v> </v>
      </c>
      <c r="G19" s="20" t="str">
        <f t="shared" si="11"/>
        <v> </v>
      </c>
      <c r="H19" s="20" t="str">
        <f t="shared" si="11"/>
        <v> </v>
      </c>
      <c r="I19" s="41"/>
      <c r="J19" s="22" t="s">
        <v>20</v>
      </c>
      <c r="K19" s="15"/>
    </row>
    <row r="20" spans="1:11" ht="13.5">
      <c r="A20" s="32" t="s">
        <v>42</v>
      </c>
      <c r="B20" s="11" t="str">
        <f aca="true" t="shared" si="12" ref="B20:H20">IF(ISBLANK(B9)," ",IF(B3&lt;30,POWER(B13,2)/3770,B14))</f>
        <v> </v>
      </c>
      <c r="C20" s="11" t="str">
        <f t="shared" si="12"/>
        <v> </v>
      </c>
      <c r="D20" s="11" t="str">
        <f t="shared" si="12"/>
        <v> </v>
      </c>
      <c r="E20" s="11" t="str">
        <f t="shared" si="12"/>
        <v> </v>
      </c>
      <c r="F20" s="11" t="str">
        <f t="shared" si="12"/>
        <v> </v>
      </c>
      <c r="G20" s="11" t="str">
        <f t="shared" si="12"/>
        <v> </v>
      </c>
      <c r="H20" s="11" t="str">
        <f t="shared" si="12"/>
        <v> </v>
      </c>
      <c r="I20" s="39"/>
      <c r="J20" s="22" t="s">
        <v>20</v>
      </c>
      <c r="K20" s="15"/>
    </row>
    <row r="21" spans="1:11" ht="14.25" thickBot="1">
      <c r="A21" s="33" t="s">
        <v>43</v>
      </c>
      <c r="B21" s="23" t="str">
        <f aca="true" t="shared" si="13" ref="B21:H21">IF(ISBLANK(B9)," ",IF(B3&lt;30,POWER(B15,2)/3770,B16))</f>
        <v> </v>
      </c>
      <c r="C21" s="23" t="str">
        <f t="shared" si="13"/>
        <v> </v>
      </c>
      <c r="D21" s="23" t="str">
        <f t="shared" si="13"/>
        <v> </v>
      </c>
      <c r="E21" s="23" t="str">
        <f t="shared" si="13"/>
        <v> </v>
      </c>
      <c r="F21" s="23" t="str">
        <f t="shared" si="13"/>
        <v> </v>
      </c>
      <c r="G21" s="23" t="str">
        <f t="shared" si="13"/>
        <v> </v>
      </c>
      <c r="H21" s="23" t="str">
        <f t="shared" si="13"/>
        <v> </v>
      </c>
      <c r="I21" s="42"/>
      <c r="J21" s="22" t="s">
        <v>20</v>
      </c>
      <c r="K21" s="15"/>
    </row>
    <row r="22" spans="1:10" ht="13.5">
      <c r="A22" s="34" t="s">
        <v>27</v>
      </c>
      <c r="B22" s="25" t="str">
        <f aca="true" t="shared" si="14" ref="B22:H22">IF(ISBLANK(B9)," ",IF(B3&lt;30,IF(B11&gt;B13,"○","×"),IF(AND(B3&gt;=30,B3&lt;76),IF(B12&gt;B14,"○","×"),IF(AND(B3&gt;=76,B3&lt;300),IF(B12&gt;B14,"○","×"),IF(AND(B3&gt;=300,B3&lt;1500),IF(B12&gt;B14,"○","×"),IF(B3&gt;=1500,IF(B12&gt;B14,"○","×")))))))</f>
        <v> </v>
      </c>
      <c r="C22" s="25" t="str">
        <f t="shared" si="14"/>
        <v> </v>
      </c>
      <c r="D22" s="25" t="str">
        <f t="shared" si="14"/>
        <v> </v>
      </c>
      <c r="E22" s="25" t="str">
        <f t="shared" si="14"/>
        <v> </v>
      </c>
      <c r="F22" s="25" t="str">
        <f t="shared" si="14"/>
        <v> </v>
      </c>
      <c r="G22" s="25" t="str">
        <f t="shared" si="14"/>
        <v> </v>
      </c>
      <c r="H22" s="25" t="str">
        <f t="shared" si="14"/>
        <v> </v>
      </c>
      <c r="I22" s="43" t="str">
        <f>IF(ISBLANK(B9)," ",IF(ISBLANK(C9),IF(B20/B19&lt;=1,"○","×"),IF(ISBLANK(D9),IF(B20/B19+C20/C19&lt;=1,"○","×"),IF(ISBLANK(E9),IF(B20/B19+C20/C19+D20/D19&lt;=1,"○","×"),IF(ISBLANK(F9),IF(B20/B19+C20/C19+D20/D19+E20/E19&lt;=1,"○","×"),IF(ISBLANK(G9),IF(B20/B19+C20/C19+D20/D19+E20/E19+F20/F19&lt;=1,"○","×"),IF(ISBLANK(H9),IF(B20/B19+C20/C19+D20/D19+E20/E19+F20/F19&lt;=1,"○","×"),IF(B20/B19+C20/C19+D20/D19+E20/E19+F20/F19+G20/G19+H20/H19&lt;=1,"○","×"))))))))</f>
        <v> </v>
      </c>
      <c r="J22" s="21"/>
    </row>
    <row r="23" spans="1:10" ht="14.25" thickBot="1">
      <c r="A23" s="33" t="s">
        <v>28</v>
      </c>
      <c r="B23" s="26" t="str">
        <f aca="true" t="shared" si="15" ref="B23:H23">IF(ISBLANK(B9)," ",IF(B3&lt;30,IF(B11&gt;B15,"○","×"),IF(AND(B3&gt;=30,B3&lt;300),IF(B12&gt;B16,"○","×"),IF(AND(B3&gt;=300,B3&lt;1500),IF(B12&gt;B16,"○","×"),IF(B3&gt;=1500,IF(B12&gt;B16,"○","×"))))))</f>
        <v> </v>
      </c>
      <c r="C23" s="26" t="str">
        <f t="shared" si="15"/>
        <v> </v>
      </c>
      <c r="D23" s="26" t="str">
        <f t="shared" si="15"/>
        <v> </v>
      </c>
      <c r="E23" s="26" t="str">
        <f t="shared" si="15"/>
        <v> </v>
      </c>
      <c r="F23" s="26" t="str">
        <f t="shared" si="15"/>
        <v> </v>
      </c>
      <c r="G23" s="26" t="str">
        <f t="shared" si="15"/>
        <v> </v>
      </c>
      <c r="H23" s="26" t="str">
        <f t="shared" si="15"/>
        <v> </v>
      </c>
      <c r="I23" s="44" t="str">
        <f>IF(ISBLANK(B9)," ",IF(ISBLANK(C9),IF(B21/B19&lt;=1,"○","×"),IF(ISBLANK(D9),IF(B21/B19+C21/C19&lt;=1,"○","×"),IF(ISBLANK(E9),IF(B21/B19+C21/C19+D21/D19&lt;=1,"○","×"),IF(ISBLANK(F9),IF(B21/B19+C21/C19+D21/D19+E21/E19&lt;=1,"○","×"),IF(ISBLANK(G9),IF(B21/B19+C21/C19+D21/D19+E21/E19+F21/F19&lt;=1,"○","×"),IF(ISBLANK(H9),IF(B21/B19+C21/C19+D21/D19+E21/E19+F21/F19+G21/G19&lt;=1,"○","×"),IF(B21/B19+C21/C19+D21/D19+E21/E19+F21/F19+G21/G19+H21/H19&lt;=1,"○","×"))))))))</f>
        <v> </v>
      </c>
      <c r="J23" s="24"/>
    </row>
    <row r="24" ht="13.5">
      <c r="A24" s="3" t="s">
        <v>29</v>
      </c>
    </row>
    <row r="25" ht="13.5">
      <c r="A25" s="1" t="s">
        <v>44</v>
      </c>
    </row>
    <row r="26" ht="13.5">
      <c r="A26" s="1" t="s">
        <v>45</v>
      </c>
    </row>
  </sheetData>
  <sheetProtection/>
  <printOptions/>
  <pageMargins left="0.1968503937007874" right="0.1968503937007874" top="0.984251968503937" bottom="0.984251968503937" header="0.5118110236220472" footer="0.5118110236220472"/>
  <pageSetup orientation="landscape" paperSize="9" r:id="rId1"/>
  <headerFooter alignWithMargins="0">
    <oddHeader>&amp;C&amp;"ＭＳ ゴシック,標準"&amp;A</oddHeader>
  </headerFooter>
</worksheet>
</file>

<file path=xl/worksheets/sheet3.xml><?xml version="1.0" encoding="utf-8"?>
<worksheet xmlns="http://schemas.openxmlformats.org/spreadsheetml/2006/main" xmlns:r="http://schemas.openxmlformats.org/officeDocument/2006/relationships">
  <dimension ref="B1:D22"/>
  <sheetViews>
    <sheetView zoomScalePageLayoutView="0" workbookViewId="0" topLeftCell="A1">
      <selection activeCell="F10" sqref="F10"/>
    </sheetView>
  </sheetViews>
  <sheetFormatPr defaultColWidth="8.796875" defaultRowHeight="14.25"/>
  <cols>
    <col min="1" max="1" width="8.09765625" style="0" customWidth="1"/>
    <col min="2" max="2" width="41.59765625" style="0" customWidth="1"/>
    <col min="3" max="3" width="14.5" style="0" customWidth="1"/>
    <col min="4" max="4" width="7.59765625" style="0" customWidth="1"/>
  </cols>
  <sheetData>
    <row r="1" spans="2:4" ht="13.5">
      <c r="B1" s="1" t="s">
        <v>46</v>
      </c>
      <c r="C1" s="1"/>
      <c r="D1" s="5"/>
    </row>
    <row r="2" spans="2:4" ht="13.5">
      <c r="B2" s="8" t="s">
        <v>1</v>
      </c>
      <c r="C2" s="8" t="s">
        <v>2</v>
      </c>
      <c r="D2" s="8" t="s">
        <v>3</v>
      </c>
    </row>
    <row r="3" spans="2:4" ht="13.5">
      <c r="B3" s="2" t="s">
        <v>4</v>
      </c>
      <c r="C3" s="9"/>
      <c r="D3" s="6" t="s">
        <v>5</v>
      </c>
    </row>
    <row r="4" spans="2:4" ht="13.5">
      <c r="B4" s="2" t="s">
        <v>6</v>
      </c>
      <c r="C4" s="12"/>
      <c r="D4" s="6" t="s">
        <v>7</v>
      </c>
    </row>
    <row r="5" spans="2:4" ht="13.5">
      <c r="B5" s="2" t="s">
        <v>8</v>
      </c>
      <c r="C5" s="12"/>
      <c r="D5" s="6" t="s">
        <v>9</v>
      </c>
    </row>
    <row r="6" spans="2:4" ht="13.5">
      <c r="B6" s="2" t="s">
        <v>10</v>
      </c>
      <c r="C6" s="10" t="str">
        <f>IF(ISBLANK(C5)," ",C4/POWER(10,C5/10))</f>
        <v> </v>
      </c>
      <c r="D6" s="6" t="s">
        <v>7</v>
      </c>
    </row>
    <row r="7" spans="2:4" ht="13.5">
      <c r="B7" s="2" t="s">
        <v>47</v>
      </c>
      <c r="C7" s="13"/>
      <c r="D7" s="6" t="s">
        <v>9</v>
      </c>
    </row>
    <row r="8" spans="2:4" ht="13.5">
      <c r="B8" s="2" t="s">
        <v>48</v>
      </c>
      <c r="C8" s="45" t="str">
        <f>IF(ISBLANK(C7)," ",POWER(6*PI()*C3/300,2)/1.64/POWER(10,C7/10))</f>
        <v> </v>
      </c>
      <c r="D8" s="6" t="s">
        <v>13</v>
      </c>
    </row>
    <row r="9" spans="2:4" ht="13.5">
      <c r="B9" s="2" t="s">
        <v>14</v>
      </c>
      <c r="C9" s="13"/>
      <c r="D9" s="6" t="s">
        <v>15</v>
      </c>
    </row>
    <row r="10" spans="2:4" ht="13.5">
      <c r="B10" s="2" t="s">
        <v>16</v>
      </c>
      <c r="C10" s="14" t="str">
        <f>IF(ISBLANK(C9)," ",IF(C3&lt;76,4,2.56))</f>
        <v> </v>
      </c>
      <c r="D10" s="7"/>
    </row>
    <row r="11" spans="2:4" ht="13.5">
      <c r="B11" s="2" t="s">
        <v>40</v>
      </c>
      <c r="C11" s="11" t="str">
        <f>IF(ISBLANK(C3)," ",IF(C3&lt;30,824/C3," "))</f>
        <v> </v>
      </c>
      <c r="D11" s="6" t="s">
        <v>220</v>
      </c>
    </row>
    <row r="12" spans="2:4" ht="13.5">
      <c r="B12" s="2" t="s">
        <v>19</v>
      </c>
      <c r="C12" s="11" t="str">
        <f>IF(ISBLANK(C3)," ",IF(C3&lt;30," ",IF(AND(C3&gt;=30,C3&lt;300),0.2,IF(AND(C3&gt;=300,C3&lt;1500),C3/1500,1))))</f>
        <v> </v>
      </c>
      <c r="D12" s="6" t="s">
        <v>20</v>
      </c>
    </row>
    <row r="13" spans="2:4" ht="13.5">
      <c r="B13" s="2" t="s">
        <v>21</v>
      </c>
      <c r="C13" s="11" t="str">
        <f>IF(ISBLANK(C9)," ",IF(C3&lt;30,SQRT(C6*C8*C10/40/PI()/C9/C9*3770)," "))</f>
        <v> </v>
      </c>
      <c r="D13" s="6" t="s">
        <v>220</v>
      </c>
    </row>
    <row r="14" spans="2:4" ht="13.5">
      <c r="B14" s="2" t="s">
        <v>22</v>
      </c>
      <c r="C14" s="46" t="str">
        <f>IF(ISBLANK(C9)," ",IF(C3&lt;30," ",IF(AND(C3&gt;=30,C3&lt;76),C6*C8*C10/40/PI()/C9/C9,C6*C8*C10/40/PI()/C9/C9)))</f>
        <v> </v>
      </c>
      <c r="D14" s="6" t="s">
        <v>20</v>
      </c>
    </row>
    <row r="15" spans="2:4" ht="13.5">
      <c r="B15" s="2" t="s">
        <v>23</v>
      </c>
      <c r="C15" s="46" t="str">
        <f>IF(ISBLANK(C9)," ",IF(C3&lt;30,SQRT(C6*C8/40/PI()/C9/C9*3770)," "))</f>
        <v> </v>
      </c>
      <c r="D15" s="6" t="s">
        <v>220</v>
      </c>
    </row>
    <row r="16" spans="2:4" ht="13.5">
      <c r="B16" s="2" t="s">
        <v>24</v>
      </c>
      <c r="C16" s="46" t="str">
        <f>IF(ISBLANK(C9)," ",IF(C3&gt;=30,C6*C8/40/PI()/C9/C9," "))</f>
        <v> </v>
      </c>
      <c r="D16" s="6" t="s">
        <v>20</v>
      </c>
    </row>
    <row r="17" spans="2:4" ht="13.5">
      <c r="B17" s="2" t="s">
        <v>25</v>
      </c>
      <c r="C17" s="11" t="str">
        <f>IF(ISBLANK(C7)," ",IF(C3&lt;30,SQRT(C6*C8*C10*3770/40/PI()/C11/C11),SQRT(C6*C8*C10/40/PI()/C12)))</f>
        <v> </v>
      </c>
      <c r="D17" s="6" t="s">
        <v>15</v>
      </c>
    </row>
    <row r="18" spans="2:4" ht="13.5">
      <c r="B18" s="2" t="s">
        <v>26</v>
      </c>
      <c r="C18" s="11" t="str">
        <f>IF(ISBLANK(C7)," ",IF(C3&lt;30,SQRT(C6*C8*3770/40/PI()/C11/C11),SQRT(C6*C8/40/PI()/C12)))</f>
        <v> </v>
      </c>
      <c r="D18" s="6" t="s">
        <v>15</v>
      </c>
    </row>
    <row r="19" spans="2:4" ht="13.5">
      <c r="B19" s="2" t="s">
        <v>27</v>
      </c>
      <c r="C19" s="4" t="str">
        <f>IF(ISBLANK(C9)," ",IF(C3&lt;30,IF(C11&gt;C13,"○","×"),IF(AND(C3&gt;=30,C3&lt;76),IF(C12&gt;C14,"○","×"),IF(AND(C3&gt;=76,C3&lt;300),IF(C12&gt;C14,"○","×"),IF(AND(C3&gt;=300,C3&lt;1500),IF(C12&gt;C14,"○","×"),IF(C3&gt;=1500,IF(C12&gt;C14,"○","×")))))))</f>
        <v> </v>
      </c>
      <c r="D19" s="6"/>
    </row>
    <row r="20" spans="2:4" ht="13.5">
      <c r="B20" s="2" t="s">
        <v>28</v>
      </c>
      <c r="C20" s="4" t="str">
        <f>IF(ISBLANK(C9)," ",IF(C3&lt;30,IF(C11&gt;C15,"○","×"),IF(AND(C3&gt;=30,C3&lt;300),IF(C12&gt;C16,"○","×"),IF(AND(C3&gt;=300,C3&lt;1500),IF(C12&gt;C16,"○","×"),IF(C3&gt;=1500,IF(C12&gt;C16,"○","×"))))))</f>
        <v> </v>
      </c>
      <c r="D20" s="6"/>
    </row>
    <row r="21" spans="2:4" ht="13.5">
      <c r="B21" s="1" t="s">
        <v>49</v>
      </c>
      <c r="C21" s="1"/>
      <c r="D21" s="5"/>
    </row>
    <row r="22" spans="3:4" ht="13.5">
      <c r="C22" s="1"/>
      <c r="D22" s="5"/>
    </row>
  </sheetData>
  <sheetProtection/>
  <printOptions/>
  <pageMargins left="0.75" right="0.75" top="1" bottom="1" header="0.5" footer="0.5"/>
  <pageSetup orientation="landscape" paperSize="9" r:id="rId1"/>
  <headerFooter alignWithMargins="0">
    <oddHeader>&amp;C&amp;"ＭＳ ゴシック,標準"&amp;A</oddHeader>
  </headerFooter>
</worksheet>
</file>

<file path=xl/worksheets/sheet4.xml><?xml version="1.0" encoding="utf-8"?>
<worksheet xmlns="http://schemas.openxmlformats.org/spreadsheetml/2006/main" xmlns:r="http://schemas.openxmlformats.org/officeDocument/2006/relationships">
  <dimension ref="B1:I52"/>
  <sheetViews>
    <sheetView zoomScalePageLayoutView="0" workbookViewId="0" topLeftCell="B1">
      <selection activeCell="D39" sqref="D39"/>
    </sheetView>
  </sheetViews>
  <sheetFormatPr defaultColWidth="8.796875" defaultRowHeight="14.25"/>
  <cols>
    <col min="1" max="1" width="4.8984375" style="1" customWidth="1"/>
    <col min="2" max="2" width="11.8984375" style="1" customWidth="1"/>
    <col min="3" max="4" width="18.09765625" style="1" customWidth="1"/>
    <col min="5" max="5" width="16" style="1" customWidth="1"/>
    <col min="6" max="6" width="9" style="1" customWidth="1"/>
    <col min="7" max="7" width="4.5" style="1" customWidth="1"/>
    <col min="8" max="8" width="15.5" style="1" customWidth="1"/>
    <col min="9" max="9" width="20.59765625" style="1" customWidth="1"/>
    <col min="10" max="16384" width="9" style="1" customWidth="1"/>
  </cols>
  <sheetData>
    <row r="1" ht="13.5">
      <c r="B1" s="1" t="s">
        <v>50</v>
      </c>
    </row>
    <row r="2" spans="2:6" s="47" customFormat="1" ht="13.5">
      <c r="B2" s="8"/>
      <c r="C2" s="8" t="s">
        <v>51</v>
      </c>
      <c r="D2" s="8" t="s">
        <v>52</v>
      </c>
      <c r="E2" s="8" t="s">
        <v>53</v>
      </c>
      <c r="F2" s="8" t="s">
        <v>39</v>
      </c>
    </row>
    <row r="3" spans="2:8" ht="13.5">
      <c r="B3" s="2" t="s">
        <v>32</v>
      </c>
      <c r="C3" s="49"/>
      <c r="D3" s="49"/>
      <c r="E3" s="2" t="str">
        <f>IF(ISBLANK(D3)," ",D3/C3)</f>
        <v> </v>
      </c>
      <c r="F3" s="48" t="str">
        <f>IF(ISBLANK(D3)," ",IF(E3&lt;=1,"○","×"))</f>
        <v> </v>
      </c>
      <c r="H3" s="1" t="s">
        <v>54</v>
      </c>
    </row>
    <row r="4" spans="2:8" ht="13.5">
      <c r="B4" s="2" t="s">
        <v>33</v>
      </c>
      <c r="C4" s="49"/>
      <c r="D4" s="49"/>
      <c r="E4" s="2" t="str">
        <f aca="true" t="shared" si="0" ref="E4:E19">IF(ISBLANK(D4)," ",D4/C4)</f>
        <v> </v>
      </c>
      <c r="F4" s="48" t="str">
        <f>IF(ISBLANK(D4)," ",IF(E3+E4&lt;=1,"○","×"))</f>
        <v> </v>
      </c>
      <c r="H4" s="1" t="s">
        <v>55</v>
      </c>
    </row>
    <row r="5" spans="2:9" ht="13.5">
      <c r="B5" s="2" t="s">
        <v>34</v>
      </c>
      <c r="C5" s="49"/>
      <c r="D5" s="49"/>
      <c r="E5" s="2" t="str">
        <f t="shared" si="0"/>
        <v> </v>
      </c>
      <c r="F5" s="48" t="str">
        <f>IF(ISBLANK(D5)," ",IF(E3+E4+E5&lt;=1,"○","×"))</f>
        <v> </v>
      </c>
      <c r="H5"/>
      <c r="I5"/>
    </row>
    <row r="6" spans="2:9" ht="13.5">
      <c r="B6" s="2" t="s">
        <v>35</v>
      </c>
      <c r="C6" s="49"/>
      <c r="D6" s="49"/>
      <c r="E6" s="2" t="str">
        <f t="shared" si="0"/>
        <v> </v>
      </c>
      <c r="F6" s="48" t="str">
        <f>IF(ISBLANK(D6)," ",IF(SUM(E$3:E6)&lt;=1,"○","×"))</f>
        <v> </v>
      </c>
      <c r="H6" s="2" t="s">
        <v>56</v>
      </c>
      <c r="I6" s="2" t="s">
        <v>57</v>
      </c>
    </row>
    <row r="7" spans="2:9" ht="13.5">
      <c r="B7" s="2" t="s">
        <v>36</v>
      </c>
      <c r="C7" s="49"/>
      <c r="D7" s="49"/>
      <c r="E7" s="2" t="str">
        <f t="shared" si="0"/>
        <v> </v>
      </c>
      <c r="F7" s="48" t="str">
        <f>IF(ISBLANK(D7)," ",IF(SUM(E$3:E7)&lt;=1,"○","×"))</f>
        <v> </v>
      </c>
      <c r="H7" s="49"/>
      <c r="I7" s="2" t="str">
        <f>IF(ISBLANK(H7)," ",POWER(H7,2)/3770)</f>
        <v> </v>
      </c>
    </row>
    <row r="8" spans="2:6" ht="13.5">
      <c r="B8" s="2" t="s">
        <v>37</v>
      </c>
      <c r="C8" s="49"/>
      <c r="D8" s="49"/>
      <c r="E8" s="2" t="str">
        <f t="shared" si="0"/>
        <v> </v>
      </c>
      <c r="F8" s="48" t="str">
        <f>IF(ISBLANK(D8)," ",IF(SUM(E$3:E8)&lt;=1,"○","×"))</f>
        <v> </v>
      </c>
    </row>
    <row r="9" spans="2:6" ht="13.5">
      <c r="B9" s="2" t="s">
        <v>38</v>
      </c>
      <c r="C9" s="49"/>
      <c r="D9" s="49"/>
      <c r="E9" s="2" t="str">
        <f t="shared" si="0"/>
        <v> </v>
      </c>
      <c r="F9" s="48" t="str">
        <f>IF(ISBLANK(D9)," ",IF(SUM(E$3:E9)&lt;=1,"○","×"))</f>
        <v> </v>
      </c>
    </row>
    <row r="10" spans="2:6" ht="13.5">
      <c r="B10" s="2" t="s">
        <v>58</v>
      </c>
      <c r="C10" s="49"/>
      <c r="D10" s="49"/>
      <c r="E10" s="2" t="str">
        <f t="shared" si="0"/>
        <v> </v>
      </c>
      <c r="F10" s="48" t="str">
        <f>IF(ISBLANK(D10)," ",IF(SUM(E$3:E10)&lt;=1,"○","×"))</f>
        <v> </v>
      </c>
    </row>
    <row r="11" spans="2:6" ht="13.5">
      <c r="B11" s="2" t="s">
        <v>59</v>
      </c>
      <c r="C11" s="49"/>
      <c r="D11" s="49"/>
      <c r="E11" s="2" t="str">
        <f t="shared" si="0"/>
        <v> </v>
      </c>
      <c r="F11" s="48" t="str">
        <f>IF(ISBLANK(D11)," ",IF(SUM(E$3:E11)&lt;=1,"○","×"))</f>
        <v> </v>
      </c>
    </row>
    <row r="12" spans="2:6" ht="13.5">
      <c r="B12" s="2" t="s">
        <v>60</v>
      </c>
      <c r="C12" s="49"/>
      <c r="D12" s="49"/>
      <c r="E12" s="2" t="str">
        <f t="shared" si="0"/>
        <v> </v>
      </c>
      <c r="F12" s="48" t="str">
        <f>IF(ISBLANK(D12)," ",IF(SUM(E$3:E12)&lt;=1,"○","×"))</f>
        <v> </v>
      </c>
    </row>
    <row r="13" spans="2:6" ht="13.5">
      <c r="B13" s="2" t="s">
        <v>61</v>
      </c>
      <c r="C13" s="49"/>
      <c r="D13" s="49"/>
      <c r="E13" s="2" t="str">
        <f t="shared" si="0"/>
        <v> </v>
      </c>
      <c r="F13" s="48" t="str">
        <f>IF(ISBLANK(D13)," ",IF(SUM(E$3:E13)&lt;=1,"○","×"))</f>
        <v> </v>
      </c>
    </row>
    <row r="14" spans="2:6" ht="13.5">
      <c r="B14" s="2" t="s">
        <v>62</v>
      </c>
      <c r="C14" s="49"/>
      <c r="D14" s="49"/>
      <c r="E14" s="2" t="str">
        <f t="shared" si="0"/>
        <v> </v>
      </c>
      <c r="F14" s="48" t="str">
        <f>IF(ISBLANK(D14)," ",IF(SUM(E$3:E14)&lt;=1,"○","×"))</f>
        <v> </v>
      </c>
    </row>
    <row r="15" spans="2:6" ht="13.5">
      <c r="B15" s="2" t="s">
        <v>63</v>
      </c>
      <c r="C15" s="49"/>
      <c r="D15" s="49"/>
      <c r="E15" s="2" t="str">
        <f t="shared" si="0"/>
        <v> </v>
      </c>
      <c r="F15" s="48" t="str">
        <f>IF(ISBLANK(D15)," ",IF(SUM(E$3:E15)&lt;=1,"○","×"))</f>
        <v> </v>
      </c>
    </row>
    <row r="16" spans="2:6" ht="13.5">
      <c r="B16" s="2" t="s">
        <v>64</v>
      </c>
      <c r="C16" s="49"/>
      <c r="D16" s="49"/>
      <c r="E16" s="2" t="str">
        <f t="shared" si="0"/>
        <v> </v>
      </c>
      <c r="F16" s="48" t="str">
        <f>IF(ISBLANK(D16)," ",IF(SUM(E$3:E16)&lt;=1,"○","×"))</f>
        <v> </v>
      </c>
    </row>
    <row r="17" spans="2:6" ht="13.5">
      <c r="B17" s="2" t="s">
        <v>65</v>
      </c>
      <c r="C17" s="49"/>
      <c r="D17" s="49"/>
      <c r="E17" s="2" t="str">
        <f t="shared" si="0"/>
        <v> </v>
      </c>
      <c r="F17" s="48" t="str">
        <f>IF(ISBLANK(D17)," ",IF(SUM(E$3:E17)&lt;=1,"○","×"))</f>
        <v> </v>
      </c>
    </row>
    <row r="18" spans="2:6" ht="13.5">
      <c r="B18" s="2" t="s">
        <v>66</v>
      </c>
      <c r="C18" s="49"/>
      <c r="D18" s="49"/>
      <c r="E18" s="2" t="str">
        <f t="shared" si="0"/>
        <v> </v>
      </c>
      <c r="F18" s="48" t="str">
        <f>IF(ISBLANK(D18)," ",IF(SUM(E$3:E18)&lt;=1,"○","×"))</f>
        <v> </v>
      </c>
    </row>
    <row r="19" spans="2:6" ht="13.5">
      <c r="B19" s="2" t="s">
        <v>67</v>
      </c>
      <c r="C19" s="49"/>
      <c r="D19" s="49"/>
      <c r="E19" s="2" t="str">
        <f t="shared" si="0"/>
        <v> </v>
      </c>
      <c r="F19" s="48" t="str">
        <f>IF(ISBLANK(D19)," ",IF(SUM(E$3:E19)&lt;=1,"○","×"))</f>
        <v> </v>
      </c>
    </row>
    <row r="20" spans="2:6" ht="13.5">
      <c r="B20" s="2" t="s">
        <v>68</v>
      </c>
      <c r="C20" s="49"/>
      <c r="D20" s="49"/>
      <c r="E20" s="2" t="str">
        <f aca="true" t="shared" si="1" ref="E20:E35">IF(ISBLANK(D20)," ",D20/C20)</f>
        <v> </v>
      </c>
      <c r="F20" s="48" t="str">
        <f>IF(ISBLANK(D20)," ",IF(SUM(E$3:E20)&lt;=1,"○","×"))</f>
        <v> </v>
      </c>
    </row>
    <row r="21" spans="2:6" ht="13.5">
      <c r="B21" s="2" t="s">
        <v>69</v>
      </c>
      <c r="C21" s="49"/>
      <c r="D21" s="49"/>
      <c r="E21" s="2" t="str">
        <f t="shared" si="1"/>
        <v> </v>
      </c>
      <c r="F21" s="48" t="str">
        <f>IF(ISBLANK(D21)," ",IF(SUM(E$3:E21)&lt;=1,"○","×"))</f>
        <v> </v>
      </c>
    </row>
    <row r="22" spans="2:6" ht="13.5">
      <c r="B22" s="2" t="s">
        <v>70</v>
      </c>
      <c r="C22" s="49"/>
      <c r="D22" s="49"/>
      <c r="E22" s="2" t="str">
        <f t="shared" si="1"/>
        <v> </v>
      </c>
      <c r="F22" s="48" t="str">
        <f>IF(ISBLANK(D22)," ",IF(SUM(E$3:E22)&lt;=1,"○","×"))</f>
        <v> </v>
      </c>
    </row>
    <row r="23" spans="2:6" ht="13.5">
      <c r="B23" s="2" t="s">
        <v>71</v>
      </c>
      <c r="C23" s="49"/>
      <c r="D23" s="49"/>
      <c r="E23" s="2" t="str">
        <f t="shared" si="1"/>
        <v> </v>
      </c>
      <c r="F23" s="48" t="str">
        <f>IF(ISBLANK(D23)," ",IF(SUM(E$3:E23)&lt;=1,"○","×"))</f>
        <v> </v>
      </c>
    </row>
    <row r="24" spans="2:6" ht="13.5">
      <c r="B24" s="2" t="s">
        <v>72</v>
      </c>
      <c r="C24" s="49"/>
      <c r="D24" s="49"/>
      <c r="E24" s="2" t="str">
        <f t="shared" si="1"/>
        <v> </v>
      </c>
      <c r="F24" s="48" t="str">
        <f>IF(ISBLANK(D24)," ",IF(SUM(E$3:E24)&lt;=1,"○","×"))</f>
        <v> </v>
      </c>
    </row>
    <row r="25" spans="2:6" ht="13.5">
      <c r="B25" s="2" t="s">
        <v>73</v>
      </c>
      <c r="C25" s="49"/>
      <c r="D25" s="49"/>
      <c r="E25" s="2" t="str">
        <f t="shared" si="1"/>
        <v> </v>
      </c>
      <c r="F25" s="48" t="str">
        <f>IF(ISBLANK(D25)," ",IF(SUM(E$3:E25)&lt;=1,"○","×"))</f>
        <v> </v>
      </c>
    </row>
    <row r="26" spans="2:6" ht="13.5">
      <c r="B26" s="2" t="s">
        <v>74</v>
      </c>
      <c r="C26" s="49"/>
      <c r="D26" s="49"/>
      <c r="E26" s="2" t="str">
        <f t="shared" si="1"/>
        <v> </v>
      </c>
      <c r="F26" s="48" t="str">
        <f>IF(ISBLANK(D26)," ",IF(SUM(E$3:E26)&lt;=1,"○","×"))</f>
        <v> </v>
      </c>
    </row>
    <row r="27" spans="2:6" ht="13.5">
      <c r="B27" s="2" t="s">
        <v>75</v>
      </c>
      <c r="C27" s="49"/>
      <c r="D27" s="49"/>
      <c r="E27" s="2" t="str">
        <f t="shared" si="1"/>
        <v> </v>
      </c>
      <c r="F27" s="48" t="str">
        <f>IF(ISBLANK(D27)," ",IF(SUM(E$3:E27)&lt;=1,"○","×"))</f>
        <v> </v>
      </c>
    </row>
    <row r="28" spans="2:6" ht="13.5">
      <c r="B28" s="2" t="s">
        <v>76</v>
      </c>
      <c r="C28" s="49"/>
      <c r="D28" s="49"/>
      <c r="E28" s="2" t="str">
        <f t="shared" si="1"/>
        <v> </v>
      </c>
      <c r="F28" s="48" t="str">
        <f>IF(ISBLANK(D28)," ",IF(SUM(E$3:E28)&lt;=1,"○","×"))</f>
        <v> </v>
      </c>
    </row>
    <row r="29" spans="2:6" ht="13.5">
      <c r="B29" s="2" t="s">
        <v>77</v>
      </c>
      <c r="C29" s="49"/>
      <c r="D29" s="49"/>
      <c r="E29" s="2" t="str">
        <f t="shared" si="1"/>
        <v> </v>
      </c>
      <c r="F29" s="48" t="str">
        <f>IF(ISBLANK(D29)," ",IF(SUM(E$3:E29)&lt;=1,"○","×"))</f>
        <v> </v>
      </c>
    </row>
    <row r="30" spans="2:6" ht="13.5">
      <c r="B30" s="2" t="s">
        <v>78</v>
      </c>
      <c r="C30" s="49"/>
      <c r="D30" s="49"/>
      <c r="E30" s="2" t="str">
        <f t="shared" si="1"/>
        <v> </v>
      </c>
      <c r="F30" s="48" t="str">
        <f>IF(ISBLANK(D30)," ",IF(SUM(E$3:E30)&lt;=1,"○","×"))</f>
        <v> </v>
      </c>
    </row>
    <row r="31" spans="2:6" ht="13.5">
      <c r="B31" s="2" t="s">
        <v>79</v>
      </c>
      <c r="C31" s="49"/>
      <c r="D31" s="49"/>
      <c r="E31" s="2" t="str">
        <f t="shared" si="1"/>
        <v> </v>
      </c>
      <c r="F31" s="48" t="str">
        <f>IF(ISBLANK(D31)," ",IF(SUM(E$3:E31)&lt;=1,"○","×"))</f>
        <v> </v>
      </c>
    </row>
    <row r="32" spans="2:6" ht="13.5">
      <c r="B32" s="2" t="s">
        <v>80</v>
      </c>
      <c r="C32" s="49"/>
      <c r="D32" s="49"/>
      <c r="E32" s="2" t="str">
        <f t="shared" si="1"/>
        <v> </v>
      </c>
      <c r="F32" s="48" t="str">
        <f>IF(ISBLANK(D32)," ",IF(SUM(E$3:E32)&lt;=1,"○","×"))</f>
        <v> </v>
      </c>
    </row>
    <row r="33" spans="2:6" ht="13.5">
      <c r="B33" s="2" t="s">
        <v>81</v>
      </c>
      <c r="C33" s="49"/>
      <c r="D33" s="49"/>
      <c r="E33" s="2" t="str">
        <f t="shared" si="1"/>
        <v> </v>
      </c>
      <c r="F33" s="48" t="str">
        <f>IF(ISBLANK(D33)," ",IF(SUM(E$3:E33)&lt;=1,"○","×"))</f>
        <v> </v>
      </c>
    </row>
    <row r="34" spans="2:6" ht="13.5">
      <c r="B34" s="2" t="s">
        <v>82</v>
      </c>
      <c r="C34" s="49"/>
      <c r="D34" s="49"/>
      <c r="E34" s="2" t="str">
        <f t="shared" si="1"/>
        <v> </v>
      </c>
      <c r="F34" s="48" t="str">
        <f>IF(ISBLANK(D34)," ",IF(SUM(E$3:E34)&lt;=1,"○","×"))</f>
        <v> </v>
      </c>
    </row>
    <row r="35" spans="2:6" ht="13.5">
      <c r="B35" s="2" t="s">
        <v>83</v>
      </c>
      <c r="C35" s="49"/>
      <c r="D35" s="49"/>
      <c r="E35" s="2" t="str">
        <f t="shared" si="1"/>
        <v> </v>
      </c>
      <c r="F35" s="48" t="str">
        <f>IF(ISBLANK(D35)," ",IF(SUM(E$3:E35)&lt;=1,"○","×"))</f>
        <v> </v>
      </c>
    </row>
    <row r="36" spans="2:6" ht="13.5">
      <c r="B36" s="2" t="s">
        <v>84</v>
      </c>
      <c r="C36" s="49"/>
      <c r="D36" s="49"/>
      <c r="E36" s="2" t="str">
        <f aca="true" t="shared" si="2" ref="E36:E51">IF(ISBLANK(D36)," ",D36/C36)</f>
        <v> </v>
      </c>
      <c r="F36" s="48" t="str">
        <f>IF(ISBLANK(D36)," ",IF(SUM(E$3:E36)&lt;=1,"○","×"))</f>
        <v> </v>
      </c>
    </row>
    <row r="37" spans="2:6" ht="13.5">
      <c r="B37" s="2" t="s">
        <v>85</v>
      </c>
      <c r="C37" s="49"/>
      <c r="D37" s="49"/>
      <c r="E37" s="2" t="str">
        <f t="shared" si="2"/>
        <v> </v>
      </c>
      <c r="F37" s="48" t="str">
        <f>IF(ISBLANK(D37)," ",IF(SUM(E$3:E37)&lt;=1,"○","×"))</f>
        <v> </v>
      </c>
    </row>
    <row r="38" spans="2:6" ht="13.5">
      <c r="B38" s="2" t="s">
        <v>86</v>
      </c>
      <c r="C38" s="49"/>
      <c r="D38" s="49"/>
      <c r="E38" s="2" t="str">
        <f t="shared" si="2"/>
        <v> </v>
      </c>
      <c r="F38" s="48" t="str">
        <f>IF(ISBLANK(D38)," ",IF(SUM(E$3:E38)&lt;=1,"○","×"))</f>
        <v> </v>
      </c>
    </row>
    <row r="39" spans="2:6" ht="13.5">
      <c r="B39" s="2" t="s">
        <v>87</v>
      </c>
      <c r="C39" s="49"/>
      <c r="D39" s="49"/>
      <c r="E39" s="2" t="str">
        <f t="shared" si="2"/>
        <v> </v>
      </c>
      <c r="F39" s="48" t="str">
        <f>IF(ISBLANK(D39)," ",IF(SUM(E$3:E39)&lt;=1,"○","×"))</f>
        <v> </v>
      </c>
    </row>
    <row r="40" spans="2:6" ht="13.5">
      <c r="B40" s="2" t="s">
        <v>88</v>
      </c>
      <c r="C40" s="49"/>
      <c r="D40" s="49"/>
      <c r="E40" s="2" t="str">
        <f t="shared" si="2"/>
        <v> </v>
      </c>
      <c r="F40" s="48" t="str">
        <f>IF(ISBLANK(D40)," ",IF(SUM(E$3:E40)&lt;=1,"○","×"))</f>
        <v> </v>
      </c>
    </row>
    <row r="41" spans="2:6" ht="13.5">
      <c r="B41" s="2" t="s">
        <v>89</v>
      </c>
      <c r="C41" s="49"/>
      <c r="D41" s="49"/>
      <c r="E41" s="2" t="str">
        <f t="shared" si="2"/>
        <v> </v>
      </c>
      <c r="F41" s="48" t="str">
        <f>IF(ISBLANK(D41)," ",IF(SUM(E$3:E41)&lt;=1,"○","×"))</f>
        <v> </v>
      </c>
    </row>
    <row r="42" spans="2:6" ht="13.5">
      <c r="B42" s="2" t="s">
        <v>90</v>
      </c>
      <c r="C42" s="49"/>
      <c r="D42" s="49"/>
      <c r="E42" s="2" t="str">
        <f t="shared" si="2"/>
        <v> </v>
      </c>
      <c r="F42" s="48" t="str">
        <f>IF(ISBLANK(D42)," ",IF(SUM(E$3:E42)&lt;=1,"○","×"))</f>
        <v> </v>
      </c>
    </row>
    <row r="43" spans="2:6" ht="13.5">
      <c r="B43" s="2" t="s">
        <v>91</v>
      </c>
      <c r="C43" s="49"/>
      <c r="D43" s="49"/>
      <c r="E43" s="2" t="str">
        <f t="shared" si="2"/>
        <v> </v>
      </c>
      <c r="F43" s="48" t="str">
        <f>IF(ISBLANK(D43)," ",IF(SUM(E$3:E43)&lt;=1,"○","×"))</f>
        <v> </v>
      </c>
    </row>
    <row r="44" spans="2:6" ht="13.5">
      <c r="B44" s="2" t="s">
        <v>92</v>
      </c>
      <c r="C44" s="49"/>
      <c r="D44" s="49"/>
      <c r="E44" s="2" t="str">
        <f t="shared" si="2"/>
        <v> </v>
      </c>
      <c r="F44" s="48" t="str">
        <f>IF(ISBLANK(D44)," ",IF(SUM(E$3:E44)&lt;=1,"○","×"))</f>
        <v> </v>
      </c>
    </row>
    <row r="45" spans="2:6" ht="13.5">
      <c r="B45" s="2" t="s">
        <v>93</v>
      </c>
      <c r="C45" s="49"/>
      <c r="D45" s="49"/>
      <c r="E45" s="2" t="str">
        <f t="shared" si="2"/>
        <v> </v>
      </c>
      <c r="F45" s="48" t="str">
        <f>IF(ISBLANK(D45)," ",IF(SUM(E$3:E45)&lt;=1,"○","×"))</f>
        <v> </v>
      </c>
    </row>
    <row r="46" spans="2:6" ht="13.5">
      <c r="B46" s="2" t="s">
        <v>94</v>
      </c>
      <c r="C46" s="49"/>
      <c r="D46" s="49"/>
      <c r="E46" s="2" t="str">
        <f t="shared" si="2"/>
        <v> </v>
      </c>
      <c r="F46" s="48" t="str">
        <f>IF(ISBLANK(D46)," ",IF(SUM(E$3:E46)&lt;=1,"○","×"))</f>
        <v> </v>
      </c>
    </row>
    <row r="47" spans="2:6" ht="13.5">
      <c r="B47" s="2" t="s">
        <v>95</v>
      </c>
      <c r="C47" s="49"/>
      <c r="D47" s="49"/>
      <c r="E47" s="2" t="str">
        <f t="shared" si="2"/>
        <v> </v>
      </c>
      <c r="F47" s="48" t="str">
        <f>IF(ISBLANK(D47)," ",IF(SUM(E$3:E47)&lt;=1,"○","×"))</f>
        <v> </v>
      </c>
    </row>
    <row r="48" spans="2:6" ht="13.5">
      <c r="B48" s="2" t="s">
        <v>96</v>
      </c>
      <c r="C48" s="49"/>
      <c r="D48" s="49"/>
      <c r="E48" s="2" t="str">
        <f t="shared" si="2"/>
        <v> </v>
      </c>
      <c r="F48" s="48" t="str">
        <f>IF(ISBLANK(D48)," ",IF(SUM(E$3:E48)&lt;=1,"○","×"))</f>
        <v> </v>
      </c>
    </row>
    <row r="49" spans="2:6" ht="13.5">
      <c r="B49" s="2" t="s">
        <v>97</v>
      </c>
      <c r="C49" s="49"/>
      <c r="D49" s="49"/>
      <c r="E49" s="2" t="str">
        <f t="shared" si="2"/>
        <v> </v>
      </c>
      <c r="F49" s="48" t="str">
        <f>IF(ISBLANK(D49)," ",IF(SUM(E$3:E49)&lt;=1,"○","×"))</f>
        <v> </v>
      </c>
    </row>
    <row r="50" spans="2:6" ht="13.5">
      <c r="B50" s="2" t="s">
        <v>98</v>
      </c>
      <c r="C50" s="49"/>
      <c r="D50" s="49"/>
      <c r="E50" s="2" t="str">
        <f t="shared" si="2"/>
        <v> </v>
      </c>
      <c r="F50" s="48" t="str">
        <f>IF(ISBLANK(D50)," ",IF(SUM(E$3:E50)&lt;=1,"○","×"))</f>
        <v> </v>
      </c>
    </row>
    <row r="51" spans="2:6" ht="13.5">
      <c r="B51" s="2" t="s">
        <v>99</v>
      </c>
      <c r="C51" s="49"/>
      <c r="D51" s="49"/>
      <c r="E51" s="2" t="str">
        <f t="shared" si="2"/>
        <v> </v>
      </c>
      <c r="F51" s="48" t="str">
        <f>IF(ISBLANK(D51)," ",IF(SUM(E$3:E51)&lt;=1,"○","×"))</f>
        <v> </v>
      </c>
    </row>
    <row r="52" spans="2:6" ht="13.5">
      <c r="B52" s="2" t="s">
        <v>100</v>
      </c>
      <c r="C52" s="49"/>
      <c r="D52" s="49"/>
      <c r="E52" s="2" t="str">
        <f>IF(ISBLANK(D52)," ",D52/C52)</f>
        <v> </v>
      </c>
      <c r="F52" s="48" t="str">
        <f>IF(ISBLANK(D52)," ",IF(SUM(E$3:E52)&lt;=1,"○","×"))</f>
        <v> </v>
      </c>
    </row>
  </sheetData>
  <sheetProtection sheet="1" objects="1" scenarios="1"/>
  <printOptions/>
  <pageMargins left="0.7874015748031497" right="0.7874015748031497" top="0.984251968503937" bottom="0.984251968503937" header="0.5118110236220472" footer="0.5118110236220472"/>
  <pageSetup orientation="portrait" paperSize="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 footer="0.5"/>
  <pageSetup orientation="portrait" paperSize="9"/>
  <headerFooter alignWithMargins="0">
    <oddHeader>&amp;C&amp;A</oddHeader>
    <oddFooter>&amp;C- &amp;P -</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 footer="0.5"/>
  <pageSetup orientation="portrait" paperSize="9" r:id="rId3"/>
  <headerFooter alignWithMargins="0">
    <oddHeader>&amp;C&amp;A</oddHeader>
    <oddFooter>&amp;C- &amp;P -</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 footer="0.5"/>
  <pageSetup horizontalDpi="360" verticalDpi="360" orientation="portrait" paperSize="9" r:id="rId3"/>
  <headerFooter alignWithMargins="0">
    <oddHeader>&amp;C&amp;A</oddHeader>
    <oddFooter>&amp;C- &amp;P -</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sheet="1"/>
  <printOptions/>
  <pageMargins left="0.75" right="0.75" top="1" bottom="1" header="0.5" footer="0.5"/>
  <pageSetup orientation="portrait" paperSize="9"/>
  <headerFooter alignWithMargins="0">
    <oddHeader>&amp;C&amp;A</oddHeader>
    <oddFooter>&amp;C- &amp;P -</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796875" defaultRowHeight="4.5" customHeight="1"/>
  <cols>
    <col min="1" max="16384" width="0.6953125" style="0" customWidth="1"/>
  </cols>
  <sheetData/>
  <sheetProtection password="D647" sheet="1" objects="1" scenarios="1"/>
  <printOptions/>
  <pageMargins left="0.75" right="0.75" top="1" bottom="1" header="0.512" footer="0.512"/>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JJ1RDX</dc:creator>
  <cp:keywords/>
  <dc:description/>
  <cp:lastModifiedBy>JJ1RDX</cp:lastModifiedBy>
  <cp:lastPrinted>2012-02-02T14:18:29Z</cp:lastPrinted>
  <dcterms:created xsi:type="dcterms:W3CDTF">2008-10-08T01:56:42Z</dcterms:created>
  <dcterms:modified xsi:type="dcterms:W3CDTF">2014-11-29T13:11:56Z</dcterms:modified>
  <cp:category/>
  <cp:version/>
  <cp:contentType/>
  <cp:contentStatus/>
</cp:coreProperties>
</file>